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C Reports\"/>
    </mc:Choice>
  </mc:AlternateContent>
  <xr:revisionPtr revIDLastSave="0" documentId="13_ncr:1_{ABA5BB84-7739-4C44-A262-BCE65672BAF3}" xr6:coauthVersionLast="47" xr6:coauthVersionMax="47" xr10:uidLastSave="{00000000-0000-0000-0000-000000000000}"/>
  <bookViews>
    <workbookView xWindow="-108" yWindow="-108" windowWidth="23256" windowHeight="12576" xr2:uid="{7C781F67-5337-49CE-B19C-592B39E4E4FE}"/>
  </bookViews>
  <sheets>
    <sheet name="Report" sheetId="1" r:id="rId1"/>
    <sheet name="Sheet5" sheetId="5" state="veryHidden" r:id="rId2"/>
    <sheet name="Sheet6" sheetId="6" state="veryHidden" r:id="rId3"/>
    <sheet name="Sheet1" sheetId="10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F6" i="1"/>
  <c r="H6" i="1"/>
  <c r="I6" i="1"/>
  <c r="F7" i="1"/>
  <c r="H7" i="1"/>
  <c r="I7" i="1"/>
  <c r="F8" i="1"/>
  <c r="H8" i="1"/>
  <c r="I8" i="1"/>
  <c r="F9" i="1"/>
  <c r="H9" i="1"/>
  <c r="I9" i="1"/>
  <c r="F10" i="1"/>
  <c r="H10" i="1"/>
  <c r="I10" i="1"/>
  <c r="F11" i="1"/>
  <c r="H11" i="1"/>
  <c r="I11" i="1"/>
  <c r="F12" i="1"/>
  <c r="H12" i="1"/>
  <c r="I12" i="1"/>
  <c r="F13" i="1"/>
  <c r="H13" i="1"/>
  <c r="I13" i="1"/>
  <c r="F14" i="1"/>
  <c r="H14" i="1"/>
  <c r="I14" i="1"/>
  <c r="F15" i="1"/>
  <c r="H15" i="1"/>
  <c r="I15" i="1"/>
  <c r="F16" i="1"/>
  <c r="H16" i="1"/>
  <c r="I16" i="1"/>
  <c r="F17" i="1"/>
  <c r="H17" i="1"/>
  <c r="I17" i="1"/>
  <c r="F18" i="1"/>
  <c r="H18" i="1"/>
  <c r="I18" i="1"/>
  <c r="F19" i="1"/>
  <c r="H19" i="1"/>
  <c r="I19" i="1"/>
  <c r="F20" i="1"/>
  <c r="H20" i="1"/>
  <c r="I20" i="1"/>
  <c r="F21" i="1"/>
  <c r="H21" i="1"/>
  <c r="I21" i="1"/>
  <c r="F22" i="1"/>
  <c r="H22" i="1"/>
  <c r="I22" i="1"/>
  <c r="F23" i="1"/>
  <c r="H23" i="1"/>
  <c r="I23" i="1"/>
  <c r="F24" i="1"/>
  <c r="H24" i="1"/>
  <c r="I24" i="1"/>
  <c r="F25" i="1"/>
  <c r="H25" i="1"/>
  <c r="I25" i="1"/>
  <c r="F26" i="1"/>
  <c r="H26" i="1"/>
  <c r="I26" i="1"/>
  <c r="F27" i="1"/>
  <c r="H27" i="1"/>
  <c r="I27" i="1"/>
  <c r="F28" i="1"/>
  <c r="H28" i="1"/>
  <c r="I28" i="1"/>
  <c r="F29" i="1"/>
  <c r="H29" i="1"/>
  <c r="I29" i="1"/>
  <c r="F30" i="1"/>
  <c r="H30" i="1"/>
  <c r="I30" i="1"/>
  <c r="F31" i="1"/>
  <c r="H31" i="1"/>
  <c r="I31" i="1"/>
  <c r="F32" i="1"/>
  <c r="H32" i="1"/>
  <c r="I32" i="1"/>
  <c r="F33" i="1"/>
  <c r="H33" i="1"/>
  <c r="I33" i="1"/>
  <c r="F34" i="1"/>
  <c r="H34" i="1"/>
  <c r="I34" i="1"/>
  <c r="F35" i="1"/>
  <c r="H35" i="1"/>
  <c r="I35" i="1"/>
  <c r="F36" i="1"/>
  <c r="H36" i="1"/>
  <c r="I36" i="1"/>
  <c r="F37" i="1"/>
  <c r="H37" i="1"/>
  <c r="I37" i="1"/>
  <c r="F38" i="1"/>
  <c r="H38" i="1"/>
  <c r="I38" i="1"/>
  <c r="F39" i="1"/>
  <c r="H39" i="1"/>
  <c r="I39" i="1"/>
  <c r="F40" i="1"/>
  <c r="H40" i="1"/>
  <c r="I40" i="1"/>
  <c r="F41" i="1"/>
  <c r="H41" i="1"/>
  <c r="I41" i="1"/>
  <c r="F42" i="1"/>
  <c r="H42" i="1"/>
  <c r="I42" i="1"/>
  <c r="F43" i="1"/>
  <c r="H43" i="1"/>
  <c r="I43" i="1"/>
  <c r="F44" i="1"/>
  <c r="H44" i="1"/>
  <c r="I44" i="1"/>
  <c r="F45" i="1"/>
  <c r="H45" i="1"/>
  <c r="I45" i="1"/>
  <c r="F46" i="1"/>
  <c r="H46" i="1"/>
  <c r="I46" i="1"/>
  <c r="F47" i="1"/>
  <c r="H47" i="1"/>
  <c r="I47" i="1"/>
  <c r="F48" i="1"/>
  <c r="H48" i="1"/>
  <c r="I48" i="1"/>
  <c r="F49" i="1"/>
  <c r="H49" i="1"/>
  <c r="I49" i="1"/>
  <c r="F50" i="1"/>
  <c r="H50" i="1"/>
  <c r="I50" i="1"/>
  <c r="E52" i="1"/>
  <c r="F53" i="1"/>
  <c r="H53" i="1"/>
  <c r="I53" i="1"/>
  <c r="F54" i="1"/>
  <c r="H54" i="1"/>
  <c r="I54" i="1"/>
  <c r="F55" i="1"/>
  <c r="H55" i="1"/>
  <c r="I55" i="1"/>
  <c r="F56" i="1"/>
  <c r="H56" i="1"/>
  <c r="I56" i="1"/>
  <c r="F57" i="1"/>
  <c r="H57" i="1"/>
  <c r="I57" i="1"/>
  <c r="F58" i="1"/>
  <c r="H58" i="1"/>
  <c r="I58" i="1"/>
  <c r="F59" i="1"/>
  <c r="H59" i="1"/>
  <c r="I59" i="1"/>
  <c r="F60" i="1"/>
  <c r="H60" i="1"/>
  <c r="I60" i="1"/>
  <c r="F61" i="1"/>
  <c r="H61" i="1"/>
  <c r="I61" i="1"/>
  <c r="F62" i="1"/>
  <c r="H62" i="1"/>
  <c r="I62" i="1"/>
  <c r="F63" i="1"/>
  <c r="H63" i="1"/>
  <c r="I63" i="1"/>
  <c r="F64" i="1"/>
  <c r="H64" i="1"/>
  <c r="I64" i="1"/>
  <c r="F65" i="1"/>
  <c r="H65" i="1"/>
  <c r="I65" i="1"/>
  <c r="F66" i="1"/>
  <c r="H66" i="1"/>
  <c r="I66" i="1"/>
  <c r="F67" i="1"/>
  <c r="H67" i="1"/>
  <c r="I67" i="1"/>
  <c r="F68" i="1"/>
  <c r="H68" i="1"/>
  <c r="I68" i="1"/>
  <c r="F69" i="1"/>
  <c r="H69" i="1"/>
  <c r="I69" i="1"/>
  <c r="F70" i="1"/>
  <c r="H70" i="1"/>
  <c r="I70" i="1"/>
  <c r="F71" i="1"/>
  <c r="H71" i="1"/>
  <c r="I71" i="1"/>
  <c r="F72" i="1"/>
  <c r="H72" i="1"/>
  <c r="I72" i="1"/>
  <c r="F73" i="1"/>
  <c r="H73" i="1"/>
  <c r="I73" i="1"/>
  <c r="F74" i="1"/>
  <c r="H74" i="1"/>
  <c r="I74" i="1"/>
  <c r="F75" i="1"/>
  <c r="H75" i="1"/>
  <c r="I75" i="1"/>
  <c r="F76" i="1"/>
  <c r="H76" i="1"/>
  <c r="I76" i="1"/>
  <c r="F77" i="1"/>
  <c r="H77" i="1"/>
  <c r="I77" i="1"/>
  <c r="F78" i="1"/>
  <c r="H78" i="1"/>
  <c r="I78" i="1"/>
  <c r="F79" i="1"/>
  <c r="H79" i="1"/>
  <c r="I79" i="1"/>
  <c r="F80" i="1"/>
  <c r="H80" i="1"/>
  <c r="I80" i="1"/>
  <c r="F81" i="1"/>
  <c r="H81" i="1"/>
  <c r="I81" i="1"/>
  <c r="F82" i="1"/>
  <c r="H82" i="1"/>
  <c r="I82" i="1"/>
  <c r="F83" i="1"/>
  <c r="H83" i="1"/>
  <c r="I83" i="1"/>
  <c r="F84" i="1"/>
  <c r="H84" i="1"/>
  <c r="I84" i="1"/>
  <c r="F85" i="1"/>
  <c r="H85" i="1"/>
  <c r="I85" i="1"/>
  <c r="F86" i="1"/>
  <c r="H86" i="1"/>
  <c r="I86" i="1"/>
  <c r="F87" i="1"/>
  <c r="H87" i="1"/>
  <c r="I87" i="1"/>
  <c r="F88" i="1"/>
  <c r="H88" i="1"/>
  <c r="I88" i="1"/>
  <c r="F89" i="1"/>
  <c r="H89" i="1"/>
  <c r="I89" i="1"/>
  <c r="F90" i="1"/>
  <c r="H90" i="1"/>
  <c r="I90" i="1"/>
  <c r="F91" i="1"/>
  <c r="H91" i="1"/>
  <c r="I91" i="1"/>
  <c r="F92" i="1"/>
  <c r="H92" i="1"/>
  <c r="I92" i="1"/>
  <c r="F93" i="1"/>
  <c r="H93" i="1"/>
  <c r="I93" i="1"/>
  <c r="F94" i="1"/>
  <c r="H94" i="1"/>
  <c r="I94" i="1"/>
  <c r="F95" i="1"/>
  <c r="H95" i="1"/>
  <c r="I95" i="1"/>
  <c r="F96" i="1"/>
  <c r="H96" i="1"/>
  <c r="I96" i="1"/>
  <c r="E98" i="1"/>
  <c r="F99" i="1"/>
  <c r="H99" i="1"/>
  <c r="I99" i="1"/>
  <c r="E101" i="1"/>
  <c r="F102" i="1"/>
  <c r="H102" i="1"/>
  <c r="I102" i="1"/>
  <c r="F103" i="1"/>
  <c r="H103" i="1"/>
  <c r="I103" i="1"/>
  <c r="F104" i="1"/>
  <c r="H104" i="1"/>
  <c r="I104" i="1"/>
  <c r="F105" i="1"/>
  <c r="H105" i="1"/>
  <c r="I105" i="1"/>
  <c r="F106" i="1"/>
  <c r="H106" i="1"/>
  <c r="I106" i="1"/>
  <c r="F107" i="1"/>
  <c r="H107" i="1"/>
  <c r="I107" i="1"/>
  <c r="F108" i="1"/>
  <c r="H108" i="1"/>
  <c r="I108" i="1"/>
  <c r="F109" i="1"/>
  <c r="H109" i="1"/>
  <c r="I109" i="1"/>
  <c r="F110" i="1"/>
  <c r="H110" i="1"/>
  <c r="I110" i="1"/>
  <c r="F111" i="1"/>
  <c r="H111" i="1"/>
  <c r="I111" i="1"/>
  <c r="F112" i="1"/>
  <c r="H112" i="1"/>
  <c r="I112" i="1"/>
  <c r="F113" i="1"/>
  <c r="H113" i="1"/>
  <c r="I113" i="1"/>
  <c r="F114" i="1"/>
  <c r="H114" i="1"/>
  <c r="I114" i="1"/>
  <c r="F115" i="1"/>
  <c r="H115" i="1"/>
  <c r="I115" i="1"/>
  <c r="F116" i="1"/>
  <c r="H116" i="1"/>
  <c r="I116" i="1"/>
  <c r="F117" i="1"/>
  <c r="H117" i="1"/>
  <c r="I117" i="1"/>
  <c r="F118" i="1"/>
  <c r="H118" i="1"/>
  <c r="I118" i="1"/>
  <c r="F119" i="1"/>
  <c r="H119" i="1"/>
  <c r="I119" i="1"/>
  <c r="F120" i="1"/>
  <c r="H120" i="1"/>
  <c r="I120" i="1"/>
  <c r="F121" i="1"/>
  <c r="H121" i="1"/>
  <c r="I121" i="1"/>
  <c r="F122" i="1"/>
  <c r="H122" i="1"/>
  <c r="I122" i="1"/>
  <c r="F123" i="1"/>
  <c r="H123" i="1"/>
  <c r="I123" i="1"/>
  <c r="F124" i="1"/>
  <c r="H124" i="1"/>
  <c r="I124" i="1"/>
  <c r="F125" i="1"/>
  <c r="H125" i="1"/>
  <c r="I125" i="1"/>
  <c r="F126" i="1"/>
  <c r="H126" i="1"/>
  <c r="I126" i="1"/>
  <c r="F127" i="1"/>
  <c r="H127" i="1"/>
  <c r="I127" i="1"/>
  <c r="F128" i="1"/>
  <c r="H128" i="1"/>
  <c r="I128" i="1"/>
  <c r="F129" i="1"/>
  <c r="H129" i="1"/>
  <c r="I129" i="1"/>
  <c r="F130" i="1"/>
  <c r="H130" i="1"/>
  <c r="I130" i="1"/>
  <c r="E132" i="1"/>
  <c r="F133" i="1"/>
  <c r="G133" i="1"/>
  <c r="H133" i="1"/>
  <c r="I133" i="1"/>
  <c r="F134" i="1"/>
  <c r="H134" i="1"/>
  <c r="I134" i="1"/>
  <c r="F135" i="1"/>
  <c r="H135" i="1"/>
  <c r="I135" i="1"/>
  <c r="F136" i="1"/>
  <c r="H136" i="1"/>
  <c r="I136" i="1"/>
  <c r="F137" i="1"/>
  <c r="H137" i="1"/>
  <c r="I137" i="1"/>
  <c r="F138" i="1"/>
  <c r="H138" i="1"/>
  <c r="I138" i="1"/>
  <c r="F139" i="1"/>
  <c r="H139" i="1"/>
  <c r="I139" i="1"/>
  <c r="F140" i="1"/>
  <c r="H140" i="1"/>
  <c r="I140" i="1"/>
  <c r="F141" i="1"/>
  <c r="H141" i="1"/>
  <c r="I141" i="1"/>
  <c r="F142" i="1"/>
  <c r="H142" i="1"/>
  <c r="I142" i="1"/>
  <c r="F143" i="1"/>
  <c r="H143" i="1"/>
  <c r="I143" i="1"/>
  <c r="F144" i="1"/>
  <c r="H144" i="1"/>
  <c r="I144" i="1"/>
  <c r="F145" i="1"/>
  <c r="H145" i="1"/>
  <c r="I145" i="1"/>
  <c r="F146" i="1"/>
  <c r="H146" i="1"/>
  <c r="I146" i="1"/>
  <c r="F147" i="1"/>
  <c r="H147" i="1"/>
  <c r="I147" i="1"/>
  <c r="F148" i="1"/>
  <c r="H148" i="1"/>
  <c r="I148" i="1"/>
  <c r="F149" i="1"/>
  <c r="H149" i="1"/>
  <c r="I149" i="1"/>
  <c r="F150" i="1"/>
  <c r="H150" i="1"/>
  <c r="I150" i="1"/>
  <c r="F151" i="1"/>
  <c r="H151" i="1"/>
  <c r="I151" i="1"/>
  <c r="F152" i="1"/>
  <c r="H152" i="1"/>
  <c r="I152" i="1"/>
  <c r="F153" i="1"/>
  <c r="H153" i="1"/>
  <c r="I153" i="1"/>
  <c r="F154" i="1"/>
  <c r="H154" i="1"/>
  <c r="I154" i="1"/>
  <c r="F155" i="1"/>
  <c r="H155" i="1"/>
  <c r="I155" i="1"/>
  <c r="F156" i="1"/>
  <c r="H156" i="1"/>
  <c r="I156" i="1"/>
  <c r="F157" i="1"/>
  <c r="H157" i="1"/>
  <c r="I157" i="1"/>
  <c r="F158" i="1"/>
  <c r="H158" i="1"/>
  <c r="I158" i="1"/>
  <c r="F159" i="1"/>
  <c r="H159" i="1"/>
  <c r="I159" i="1"/>
  <c r="F160" i="1"/>
  <c r="H160" i="1"/>
  <c r="I160" i="1"/>
  <c r="F161" i="1"/>
  <c r="H161" i="1"/>
  <c r="I161" i="1"/>
  <c r="F162" i="1"/>
  <c r="H162" i="1"/>
  <c r="I162" i="1"/>
  <c r="F163" i="1"/>
  <c r="H163" i="1"/>
  <c r="I163" i="1"/>
  <c r="F164" i="1"/>
  <c r="H164" i="1"/>
  <c r="I164" i="1"/>
  <c r="F165" i="1"/>
  <c r="H165" i="1"/>
  <c r="I165" i="1"/>
  <c r="F166" i="1"/>
  <c r="H166" i="1"/>
  <c r="I166" i="1"/>
  <c r="F167" i="1"/>
  <c r="H167" i="1"/>
  <c r="I167" i="1"/>
  <c r="F168" i="1"/>
  <c r="H168" i="1"/>
  <c r="I168" i="1"/>
  <c r="F169" i="1"/>
  <c r="H169" i="1"/>
  <c r="I169" i="1"/>
  <c r="F170" i="1"/>
  <c r="H170" i="1"/>
  <c r="I170" i="1"/>
  <c r="F171" i="1"/>
  <c r="H171" i="1"/>
  <c r="I171" i="1"/>
  <c r="F172" i="1"/>
  <c r="H172" i="1"/>
  <c r="I172" i="1"/>
  <c r="F173" i="1"/>
  <c r="H173" i="1"/>
  <c r="I173" i="1"/>
  <c r="F174" i="1"/>
  <c r="H174" i="1"/>
  <c r="I174" i="1"/>
  <c r="F175" i="1"/>
  <c r="H175" i="1"/>
  <c r="I175" i="1"/>
  <c r="F176" i="1"/>
  <c r="H176" i="1"/>
  <c r="I176" i="1"/>
  <c r="F177" i="1"/>
  <c r="H177" i="1"/>
  <c r="I177" i="1"/>
  <c r="F178" i="1"/>
  <c r="H178" i="1"/>
  <c r="I178" i="1"/>
  <c r="F179" i="1"/>
  <c r="H179" i="1"/>
  <c r="I179" i="1"/>
  <c r="F180" i="1"/>
  <c r="H180" i="1"/>
  <c r="I180" i="1"/>
  <c r="F181" i="1"/>
  <c r="H181" i="1"/>
  <c r="I181" i="1"/>
  <c r="F182" i="1"/>
  <c r="H182" i="1"/>
  <c r="I182" i="1"/>
  <c r="F183" i="1"/>
  <c r="H183" i="1"/>
  <c r="I183" i="1"/>
  <c r="F184" i="1"/>
  <c r="H184" i="1"/>
  <c r="I184" i="1"/>
  <c r="F185" i="1"/>
  <c r="H185" i="1"/>
  <c r="I185" i="1"/>
  <c r="F186" i="1"/>
  <c r="H186" i="1"/>
  <c r="I186" i="1"/>
  <c r="F187" i="1"/>
  <c r="H187" i="1"/>
  <c r="I187" i="1"/>
  <c r="F188" i="1"/>
  <c r="H188" i="1"/>
  <c r="I188" i="1"/>
  <c r="F189" i="1"/>
  <c r="H189" i="1"/>
  <c r="I189" i="1"/>
  <c r="F190" i="1"/>
  <c r="H190" i="1"/>
  <c r="I190" i="1"/>
  <c r="F191" i="1"/>
  <c r="H191" i="1"/>
  <c r="I191" i="1"/>
  <c r="F192" i="1"/>
  <c r="H192" i="1"/>
  <c r="I192" i="1"/>
  <c r="F193" i="1"/>
  <c r="H193" i="1"/>
  <c r="I193" i="1"/>
  <c r="F194" i="1"/>
  <c r="H194" i="1"/>
  <c r="I194" i="1"/>
  <c r="F195" i="1"/>
  <c r="H195" i="1"/>
  <c r="I195" i="1"/>
  <c r="F196" i="1"/>
  <c r="H196" i="1"/>
  <c r="I196" i="1"/>
  <c r="F197" i="1"/>
  <c r="H197" i="1"/>
  <c r="I197" i="1"/>
  <c r="F198" i="1"/>
  <c r="H198" i="1"/>
  <c r="I198" i="1"/>
  <c r="F199" i="1"/>
  <c r="H199" i="1"/>
  <c r="I199" i="1"/>
  <c r="F200" i="1"/>
  <c r="H200" i="1"/>
  <c r="I200" i="1"/>
  <c r="F201" i="1"/>
  <c r="H201" i="1"/>
  <c r="I201" i="1"/>
  <c r="F202" i="1"/>
  <c r="H202" i="1"/>
  <c r="I202" i="1"/>
  <c r="F203" i="1"/>
  <c r="H203" i="1"/>
  <c r="I203" i="1"/>
  <c r="F204" i="1"/>
  <c r="H204" i="1"/>
  <c r="I204" i="1"/>
  <c r="F205" i="1"/>
  <c r="H205" i="1"/>
  <c r="I205" i="1"/>
  <c r="F206" i="1"/>
  <c r="H206" i="1"/>
  <c r="I206" i="1"/>
  <c r="F207" i="1"/>
  <c r="H207" i="1"/>
  <c r="I207" i="1"/>
  <c r="F208" i="1"/>
  <c r="H208" i="1"/>
  <c r="I208" i="1"/>
  <c r="F209" i="1"/>
  <c r="H209" i="1"/>
  <c r="I209" i="1"/>
  <c r="F210" i="1"/>
  <c r="H210" i="1"/>
  <c r="I210" i="1"/>
  <c r="F211" i="1"/>
  <c r="H211" i="1"/>
  <c r="I211" i="1"/>
  <c r="F212" i="1"/>
  <c r="H212" i="1"/>
  <c r="I212" i="1"/>
  <c r="F213" i="1"/>
  <c r="H213" i="1"/>
  <c r="I213" i="1"/>
  <c r="F214" i="1"/>
  <c r="H214" i="1"/>
  <c r="I214" i="1"/>
  <c r="F215" i="1"/>
  <c r="H215" i="1"/>
  <c r="I215" i="1"/>
  <c r="F216" i="1"/>
  <c r="H216" i="1"/>
  <c r="I216" i="1"/>
  <c r="F217" i="1"/>
  <c r="H217" i="1"/>
  <c r="I217" i="1"/>
  <c r="F218" i="1"/>
  <c r="H218" i="1"/>
  <c r="I218" i="1"/>
  <c r="F219" i="1"/>
  <c r="H219" i="1"/>
  <c r="I219" i="1"/>
  <c r="F220" i="1"/>
  <c r="H220" i="1"/>
  <c r="I220" i="1"/>
  <c r="F221" i="1"/>
  <c r="H221" i="1"/>
  <c r="I221" i="1"/>
  <c r="F222" i="1"/>
  <c r="H222" i="1"/>
  <c r="I222" i="1"/>
  <c r="F223" i="1"/>
  <c r="H223" i="1"/>
  <c r="I223" i="1"/>
  <c r="F224" i="1"/>
  <c r="H224" i="1"/>
  <c r="I224" i="1"/>
  <c r="F225" i="1"/>
  <c r="H225" i="1"/>
  <c r="I225" i="1"/>
  <c r="F226" i="1"/>
  <c r="H226" i="1"/>
  <c r="I226" i="1"/>
  <c r="F227" i="1"/>
  <c r="H227" i="1"/>
  <c r="I227" i="1"/>
  <c r="F228" i="1"/>
  <c r="H228" i="1"/>
  <c r="I228" i="1"/>
  <c r="F229" i="1"/>
  <c r="H229" i="1"/>
  <c r="I229" i="1"/>
  <c r="F230" i="1"/>
  <c r="H230" i="1"/>
  <c r="I230" i="1"/>
  <c r="F231" i="1"/>
  <c r="H231" i="1"/>
  <c r="I231" i="1"/>
  <c r="F232" i="1"/>
  <c r="H232" i="1"/>
  <c r="I232" i="1"/>
  <c r="F233" i="1"/>
  <c r="H233" i="1"/>
  <c r="I233" i="1"/>
  <c r="F234" i="1"/>
  <c r="H234" i="1"/>
  <c r="I234" i="1"/>
  <c r="F235" i="1"/>
  <c r="H235" i="1"/>
  <c r="I235" i="1"/>
  <c r="F236" i="1"/>
  <c r="H236" i="1"/>
  <c r="I236" i="1"/>
  <c r="F237" i="1"/>
  <c r="H237" i="1"/>
  <c r="I237" i="1"/>
  <c r="F238" i="1"/>
  <c r="H238" i="1"/>
  <c r="I238" i="1"/>
  <c r="F239" i="1"/>
  <c r="H239" i="1"/>
  <c r="I239" i="1"/>
  <c r="F240" i="1"/>
  <c r="H240" i="1"/>
  <c r="I240" i="1"/>
  <c r="F241" i="1"/>
  <c r="H241" i="1"/>
  <c r="I241" i="1"/>
  <c r="F242" i="1"/>
  <c r="H242" i="1"/>
  <c r="I242" i="1"/>
  <c r="F243" i="1"/>
  <c r="H243" i="1"/>
  <c r="I243" i="1"/>
  <c r="F244" i="1"/>
  <c r="H244" i="1"/>
  <c r="I244" i="1"/>
  <c r="F245" i="1"/>
  <c r="H245" i="1"/>
  <c r="I245" i="1"/>
  <c r="F246" i="1"/>
  <c r="H246" i="1"/>
  <c r="I246" i="1"/>
  <c r="F247" i="1"/>
  <c r="H247" i="1"/>
  <c r="I247" i="1"/>
  <c r="F248" i="1"/>
  <c r="H248" i="1"/>
  <c r="I248" i="1"/>
  <c r="F249" i="1"/>
  <c r="H249" i="1"/>
  <c r="I249" i="1"/>
  <c r="F250" i="1"/>
  <c r="H250" i="1"/>
  <c r="I250" i="1"/>
  <c r="F251" i="1"/>
  <c r="H251" i="1"/>
  <c r="I251" i="1"/>
  <c r="F252" i="1"/>
  <c r="H252" i="1"/>
  <c r="I252" i="1"/>
  <c r="F253" i="1"/>
  <c r="H253" i="1"/>
  <c r="I253" i="1"/>
  <c r="F254" i="1"/>
  <c r="H254" i="1"/>
  <c r="I254" i="1"/>
  <c r="F255" i="1"/>
  <c r="H255" i="1"/>
  <c r="I255" i="1"/>
  <c r="F256" i="1"/>
  <c r="H256" i="1"/>
  <c r="I256" i="1"/>
  <c r="F257" i="1"/>
  <c r="H257" i="1"/>
  <c r="I257" i="1"/>
  <c r="F258" i="1"/>
  <c r="H258" i="1"/>
  <c r="I258" i="1"/>
  <c r="F259" i="1"/>
  <c r="H259" i="1"/>
  <c r="I259" i="1"/>
  <c r="F260" i="1"/>
  <c r="H260" i="1"/>
  <c r="I260" i="1"/>
  <c r="F261" i="1"/>
  <c r="H261" i="1"/>
  <c r="I261" i="1"/>
  <c r="F262" i="1"/>
  <c r="H262" i="1"/>
  <c r="I262" i="1"/>
  <c r="F263" i="1"/>
  <c r="H263" i="1"/>
  <c r="I263" i="1"/>
  <c r="F264" i="1"/>
  <c r="H264" i="1"/>
  <c r="I264" i="1"/>
  <c r="F265" i="1"/>
  <c r="H265" i="1"/>
  <c r="I265" i="1"/>
  <c r="F266" i="1"/>
  <c r="H266" i="1"/>
  <c r="I266" i="1"/>
  <c r="F267" i="1"/>
  <c r="H267" i="1"/>
  <c r="I267" i="1"/>
  <c r="F268" i="1"/>
  <c r="H268" i="1"/>
  <c r="I268" i="1"/>
  <c r="F269" i="1"/>
  <c r="H269" i="1"/>
  <c r="I269" i="1"/>
  <c r="F270" i="1"/>
  <c r="H270" i="1"/>
  <c r="I270" i="1"/>
  <c r="F271" i="1"/>
  <c r="H271" i="1"/>
  <c r="I271" i="1"/>
  <c r="F272" i="1"/>
  <c r="H272" i="1"/>
  <c r="I272" i="1"/>
  <c r="E274" i="1"/>
  <c r="F275" i="1"/>
  <c r="H275" i="1"/>
  <c r="I275" i="1"/>
  <c r="F276" i="1"/>
  <c r="H276" i="1"/>
  <c r="I276" i="1"/>
  <c r="F277" i="1"/>
  <c r="H277" i="1"/>
  <c r="I277" i="1"/>
  <c r="F278" i="1"/>
  <c r="H278" i="1"/>
  <c r="I278" i="1"/>
  <c r="F279" i="1"/>
  <c r="H279" i="1"/>
  <c r="I279" i="1"/>
  <c r="F280" i="1"/>
  <c r="H280" i="1"/>
  <c r="I280" i="1"/>
  <c r="F281" i="1"/>
  <c r="H281" i="1"/>
  <c r="I281" i="1"/>
  <c r="F282" i="1"/>
  <c r="H282" i="1"/>
  <c r="I282" i="1"/>
  <c r="F283" i="1"/>
  <c r="H283" i="1"/>
  <c r="I283" i="1"/>
  <c r="F284" i="1"/>
  <c r="H284" i="1"/>
  <c r="I284" i="1"/>
  <c r="F285" i="1"/>
  <c r="H285" i="1"/>
  <c r="I285" i="1"/>
  <c r="F286" i="1"/>
  <c r="H286" i="1"/>
  <c r="I286" i="1"/>
  <c r="F287" i="1"/>
  <c r="H287" i="1"/>
  <c r="I287" i="1"/>
  <c r="F288" i="1"/>
  <c r="H288" i="1"/>
  <c r="I288" i="1"/>
  <c r="F289" i="1"/>
  <c r="H289" i="1"/>
  <c r="I289" i="1"/>
  <c r="F290" i="1"/>
  <c r="H290" i="1"/>
  <c r="I290" i="1"/>
  <c r="F291" i="1"/>
  <c r="H291" i="1"/>
  <c r="I291" i="1"/>
  <c r="F292" i="1"/>
  <c r="H292" i="1"/>
  <c r="I292" i="1"/>
  <c r="F293" i="1"/>
  <c r="H293" i="1"/>
  <c r="I293" i="1"/>
  <c r="F294" i="1"/>
  <c r="H294" i="1"/>
  <c r="I294" i="1"/>
  <c r="F295" i="1"/>
  <c r="H295" i="1"/>
  <c r="I295" i="1"/>
  <c r="F296" i="1"/>
  <c r="H296" i="1"/>
  <c r="I296" i="1"/>
  <c r="F297" i="1"/>
  <c r="H297" i="1"/>
  <c r="I297" i="1"/>
  <c r="F298" i="1"/>
  <c r="H298" i="1"/>
  <c r="I298" i="1"/>
  <c r="F299" i="1"/>
  <c r="H299" i="1"/>
  <c r="I299" i="1"/>
  <c r="F300" i="1"/>
  <c r="H300" i="1"/>
  <c r="I300" i="1"/>
  <c r="F301" i="1"/>
  <c r="H301" i="1"/>
  <c r="I301" i="1"/>
  <c r="F302" i="1"/>
  <c r="H302" i="1"/>
  <c r="I302" i="1"/>
  <c r="F303" i="1"/>
  <c r="H303" i="1"/>
  <c r="I303" i="1"/>
  <c r="E305" i="1"/>
  <c r="F306" i="1"/>
  <c r="H306" i="1"/>
  <c r="I306" i="1"/>
  <c r="F307" i="1"/>
  <c r="H307" i="1"/>
  <c r="I307" i="1"/>
  <c r="F308" i="1"/>
  <c r="H308" i="1"/>
  <c r="I308" i="1"/>
  <c r="F309" i="1"/>
  <c r="H309" i="1"/>
  <c r="I309" i="1"/>
  <c r="F310" i="1"/>
  <c r="H310" i="1"/>
  <c r="I310" i="1"/>
  <c r="F311" i="1"/>
  <c r="H311" i="1"/>
  <c r="I311" i="1"/>
  <c r="F312" i="1"/>
  <c r="H312" i="1"/>
  <c r="I312" i="1"/>
  <c r="F313" i="1"/>
  <c r="H313" i="1"/>
  <c r="I313" i="1"/>
  <c r="F314" i="1"/>
  <c r="H314" i="1"/>
  <c r="I314" i="1"/>
  <c r="F315" i="1"/>
  <c r="H315" i="1"/>
  <c r="I315" i="1"/>
  <c r="F316" i="1"/>
  <c r="H316" i="1"/>
  <c r="I316" i="1"/>
  <c r="F317" i="1"/>
  <c r="H317" i="1"/>
  <c r="I317" i="1"/>
  <c r="F318" i="1"/>
  <c r="H318" i="1"/>
  <c r="I318" i="1"/>
  <c r="F319" i="1"/>
  <c r="H319" i="1"/>
  <c r="I319" i="1"/>
  <c r="F320" i="1"/>
  <c r="H320" i="1"/>
  <c r="I320" i="1"/>
  <c r="F321" i="1"/>
  <c r="H321" i="1"/>
  <c r="I321" i="1"/>
  <c r="F322" i="1"/>
  <c r="H322" i="1"/>
  <c r="I322" i="1"/>
  <c r="F323" i="1"/>
  <c r="H323" i="1"/>
  <c r="I323" i="1"/>
  <c r="F324" i="1"/>
  <c r="H324" i="1"/>
  <c r="I324" i="1"/>
  <c r="F325" i="1"/>
  <c r="H325" i="1"/>
  <c r="I325" i="1"/>
  <c r="F326" i="1"/>
  <c r="H326" i="1"/>
  <c r="I326" i="1"/>
  <c r="F327" i="1"/>
  <c r="H327" i="1"/>
  <c r="I327" i="1"/>
  <c r="F328" i="1"/>
  <c r="H328" i="1"/>
  <c r="I328" i="1"/>
  <c r="F329" i="1"/>
  <c r="H329" i="1"/>
  <c r="I329" i="1"/>
  <c r="F330" i="1"/>
  <c r="H330" i="1"/>
  <c r="I330" i="1"/>
  <c r="F331" i="1"/>
  <c r="H331" i="1"/>
  <c r="I331" i="1"/>
  <c r="F332" i="1"/>
  <c r="H332" i="1"/>
  <c r="I332" i="1"/>
  <c r="F333" i="1"/>
  <c r="H333" i="1"/>
  <c r="I333" i="1"/>
  <c r="E335" i="1"/>
  <c r="D335" i="1" s="1"/>
  <c r="D336" i="1" s="1"/>
  <c r="F336" i="1"/>
  <c r="H336" i="1"/>
  <c r="I336" i="1"/>
  <c r="F337" i="1"/>
  <c r="H337" i="1"/>
  <c r="I337" i="1"/>
  <c r="F338" i="1"/>
  <c r="H338" i="1"/>
  <c r="I338" i="1"/>
  <c r="F339" i="1"/>
  <c r="H339" i="1"/>
  <c r="I339" i="1"/>
  <c r="F340" i="1"/>
  <c r="H340" i="1"/>
  <c r="I340" i="1"/>
  <c r="F341" i="1"/>
  <c r="H341" i="1"/>
  <c r="I341" i="1"/>
  <c r="F342" i="1"/>
  <c r="H342" i="1"/>
  <c r="I342" i="1"/>
  <c r="F343" i="1"/>
  <c r="H343" i="1"/>
  <c r="I343" i="1"/>
  <c r="F344" i="1"/>
  <c r="H344" i="1"/>
  <c r="I344" i="1"/>
  <c r="F345" i="1"/>
  <c r="H345" i="1"/>
  <c r="I345" i="1"/>
  <c r="F346" i="1"/>
  <c r="H346" i="1"/>
  <c r="I346" i="1"/>
  <c r="F347" i="1"/>
  <c r="H347" i="1"/>
  <c r="I347" i="1"/>
  <c r="F348" i="1"/>
  <c r="H348" i="1"/>
  <c r="I348" i="1"/>
  <c r="F349" i="1"/>
  <c r="H349" i="1"/>
  <c r="I349" i="1"/>
  <c r="F350" i="1"/>
  <c r="H350" i="1"/>
  <c r="I350" i="1"/>
  <c r="F351" i="1"/>
  <c r="H351" i="1"/>
  <c r="I351" i="1"/>
  <c r="F352" i="1"/>
  <c r="H352" i="1"/>
  <c r="I352" i="1"/>
  <c r="F353" i="1"/>
  <c r="H353" i="1"/>
  <c r="I353" i="1"/>
  <c r="F354" i="1"/>
  <c r="H354" i="1"/>
  <c r="I354" i="1"/>
  <c r="F355" i="1"/>
  <c r="H355" i="1"/>
  <c r="I355" i="1"/>
  <c r="F356" i="1"/>
  <c r="H356" i="1"/>
  <c r="I356" i="1"/>
  <c r="F357" i="1"/>
  <c r="H357" i="1"/>
  <c r="I357" i="1"/>
  <c r="F358" i="1"/>
  <c r="H358" i="1"/>
  <c r="I358" i="1"/>
  <c r="F359" i="1"/>
  <c r="H359" i="1"/>
  <c r="I359" i="1"/>
  <c r="F360" i="1"/>
  <c r="H360" i="1"/>
  <c r="I360" i="1"/>
  <c r="F361" i="1"/>
  <c r="H361" i="1"/>
  <c r="I361" i="1"/>
  <c r="F362" i="1"/>
  <c r="H362" i="1"/>
  <c r="I362" i="1"/>
  <c r="F363" i="1"/>
  <c r="H363" i="1"/>
  <c r="I363" i="1"/>
  <c r="F364" i="1"/>
  <c r="H364" i="1"/>
  <c r="I364" i="1"/>
  <c r="F365" i="1"/>
  <c r="H365" i="1"/>
  <c r="I365" i="1"/>
  <c r="F366" i="1"/>
  <c r="H366" i="1"/>
  <c r="I366" i="1"/>
  <c r="F367" i="1"/>
  <c r="H367" i="1"/>
  <c r="I367" i="1"/>
  <c r="F368" i="1"/>
  <c r="H368" i="1"/>
  <c r="I368" i="1"/>
  <c r="F369" i="1"/>
  <c r="H369" i="1"/>
  <c r="I369" i="1"/>
  <c r="F370" i="1"/>
  <c r="H370" i="1"/>
  <c r="I370" i="1"/>
  <c r="F371" i="1"/>
  <c r="H371" i="1"/>
  <c r="I371" i="1"/>
  <c r="F372" i="1"/>
  <c r="H372" i="1"/>
  <c r="I372" i="1"/>
  <c r="F373" i="1"/>
  <c r="H373" i="1"/>
  <c r="I373" i="1"/>
  <c r="F374" i="1"/>
  <c r="H374" i="1"/>
  <c r="I374" i="1"/>
  <c r="F375" i="1"/>
  <c r="H375" i="1"/>
  <c r="I375" i="1"/>
  <c r="F376" i="1"/>
  <c r="H376" i="1"/>
  <c r="I376" i="1"/>
  <c r="F377" i="1"/>
  <c r="H377" i="1"/>
  <c r="I377" i="1"/>
  <c r="F378" i="1"/>
  <c r="H378" i="1"/>
  <c r="I378" i="1"/>
  <c r="F379" i="1"/>
  <c r="H379" i="1"/>
  <c r="I379" i="1"/>
  <c r="F380" i="1"/>
  <c r="H380" i="1"/>
  <c r="I380" i="1"/>
  <c r="F381" i="1"/>
  <c r="H381" i="1"/>
  <c r="I381" i="1"/>
  <c r="F382" i="1"/>
  <c r="H382" i="1"/>
  <c r="I382" i="1"/>
  <c r="F383" i="1"/>
  <c r="H383" i="1"/>
  <c r="I383" i="1"/>
  <c r="F384" i="1"/>
  <c r="H384" i="1"/>
  <c r="I384" i="1"/>
  <c r="F385" i="1"/>
  <c r="H385" i="1"/>
  <c r="I385" i="1"/>
  <c r="F386" i="1"/>
  <c r="H386" i="1"/>
  <c r="I386" i="1"/>
  <c r="F387" i="1"/>
  <c r="H387" i="1"/>
  <c r="I387" i="1"/>
  <c r="F388" i="1"/>
  <c r="H388" i="1"/>
  <c r="I388" i="1"/>
  <c r="F389" i="1"/>
  <c r="H389" i="1"/>
  <c r="I389" i="1"/>
  <c r="F390" i="1"/>
  <c r="H390" i="1"/>
  <c r="I390" i="1"/>
  <c r="F391" i="1"/>
  <c r="H391" i="1"/>
  <c r="I391" i="1"/>
  <c r="F392" i="1"/>
  <c r="H392" i="1"/>
  <c r="I392" i="1"/>
  <c r="F393" i="1"/>
  <c r="H393" i="1"/>
  <c r="I393" i="1"/>
  <c r="F394" i="1"/>
  <c r="H394" i="1"/>
  <c r="I394" i="1"/>
  <c r="F395" i="1"/>
  <c r="H395" i="1"/>
  <c r="I395" i="1"/>
  <c r="F396" i="1"/>
  <c r="H396" i="1"/>
  <c r="I396" i="1"/>
  <c r="F397" i="1"/>
  <c r="H397" i="1"/>
  <c r="I397" i="1"/>
  <c r="F398" i="1"/>
  <c r="H398" i="1"/>
  <c r="I398" i="1"/>
  <c r="F399" i="1"/>
  <c r="H399" i="1"/>
  <c r="I399" i="1"/>
  <c r="F400" i="1"/>
  <c r="H400" i="1"/>
  <c r="I400" i="1"/>
  <c r="F401" i="1"/>
  <c r="H401" i="1"/>
  <c r="I401" i="1"/>
  <c r="F402" i="1"/>
  <c r="H402" i="1"/>
  <c r="I402" i="1"/>
  <c r="F403" i="1"/>
  <c r="H403" i="1"/>
  <c r="I403" i="1"/>
  <c r="F404" i="1"/>
  <c r="H404" i="1"/>
  <c r="I404" i="1"/>
  <c r="F405" i="1"/>
  <c r="H405" i="1"/>
  <c r="I405" i="1"/>
  <c r="F406" i="1"/>
  <c r="H406" i="1"/>
  <c r="I406" i="1"/>
  <c r="F407" i="1"/>
  <c r="H407" i="1"/>
  <c r="I407" i="1"/>
  <c r="F408" i="1"/>
  <c r="H408" i="1"/>
  <c r="I408" i="1"/>
  <c r="F409" i="1"/>
  <c r="H409" i="1"/>
  <c r="I409" i="1"/>
  <c r="F410" i="1"/>
  <c r="H410" i="1"/>
  <c r="I410" i="1"/>
  <c r="F411" i="1"/>
  <c r="H411" i="1"/>
  <c r="I411" i="1"/>
  <c r="F412" i="1"/>
  <c r="H412" i="1"/>
  <c r="I412" i="1"/>
  <c r="F413" i="1"/>
  <c r="H413" i="1"/>
  <c r="I413" i="1"/>
  <c r="F414" i="1"/>
  <c r="H414" i="1"/>
  <c r="I414" i="1"/>
  <c r="F415" i="1"/>
  <c r="H415" i="1"/>
  <c r="I415" i="1"/>
  <c r="F416" i="1"/>
  <c r="H416" i="1"/>
  <c r="I416" i="1"/>
  <c r="F417" i="1"/>
  <c r="H417" i="1"/>
  <c r="I417" i="1"/>
  <c r="F418" i="1"/>
  <c r="H418" i="1"/>
  <c r="I418" i="1"/>
  <c r="F419" i="1"/>
  <c r="H419" i="1"/>
  <c r="I419" i="1"/>
  <c r="F420" i="1"/>
  <c r="H420" i="1"/>
  <c r="I420" i="1"/>
  <c r="F421" i="1"/>
  <c r="H421" i="1"/>
  <c r="I421" i="1"/>
  <c r="F422" i="1"/>
  <c r="H422" i="1"/>
  <c r="I422" i="1"/>
  <c r="F423" i="1"/>
  <c r="H423" i="1"/>
  <c r="I423" i="1"/>
  <c r="F424" i="1"/>
  <c r="H424" i="1"/>
  <c r="I424" i="1"/>
  <c r="F425" i="1"/>
  <c r="H425" i="1"/>
  <c r="I425" i="1"/>
  <c r="F426" i="1"/>
  <c r="H426" i="1"/>
  <c r="I426" i="1"/>
  <c r="F427" i="1"/>
  <c r="H427" i="1"/>
  <c r="I427" i="1"/>
  <c r="F428" i="1"/>
  <c r="H428" i="1"/>
  <c r="I428" i="1"/>
  <c r="F429" i="1"/>
  <c r="H429" i="1"/>
  <c r="I429" i="1"/>
  <c r="F430" i="1"/>
  <c r="H430" i="1"/>
  <c r="I430" i="1"/>
  <c r="F431" i="1"/>
  <c r="H431" i="1"/>
  <c r="I431" i="1"/>
  <c r="F432" i="1"/>
  <c r="H432" i="1"/>
  <c r="I432" i="1"/>
  <c r="F433" i="1"/>
  <c r="H433" i="1"/>
  <c r="I433" i="1"/>
  <c r="F434" i="1"/>
  <c r="H434" i="1"/>
  <c r="I434" i="1"/>
  <c r="F435" i="1"/>
  <c r="H435" i="1"/>
  <c r="I435" i="1"/>
  <c r="F436" i="1"/>
  <c r="H436" i="1"/>
  <c r="I436" i="1"/>
  <c r="F437" i="1"/>
  <c r="H437" i="1"/>
  <c r="I437" i="1"/>
  <c r="F438" i="1"/>
  <c r="H438" i="1"/>
  <c r="I438" i="1"/>
  <c r="F439" i="1"/>
  <c r="H439" i="1"/>
  <c r="I439" i="1"/>
  <c r="F440" i="1"/>
  <c r="H440" i="1"/>
  <c r="I440" i="1"/>
  <c r="F441" i="1"/>
  <c r="H441" i="1"/>
  <c r="I441" i="1"/>
  <c r="F442" i="1"/>
  <c r="H442" i="1"/>
  <c r="I442" i="1"/>
  <c r="F443" i="1"/>
  <c r="H443" i="1"/>
  <c r="I443" i="1"/>
  <c r="F444" i="1"/>
  <c r="H444" i="1"/>
  <c r="I444" i="1"/>
  <c r="F445" i="1"/>
  <c r="H445" i="1"/>
  <c r="I445" i="1"/>
  <c r="F446" i="1"/>
  <c r="H446" i="1"/>
  <c r="I446" i="1"/>
  <c r="F447" i="1"/>
  <c r="H447" i="1"/>
  <c r="I447" i="1"/>
  <c r="F448" i="1"/>
  <c r="H448" i="1"/>
  <c r="I448" i="1"/>
  <c r="F449" i="1"/>
  <c r="H449" i="1"/>
  <c r="I449" i="1"/>
  <c r="F450" i="1"/>
  <c r="H450" i="1"/>
  <c r="I450" i="1"/>
  <c r="F451" i="1"/>
  <c r="H451" i="1"/>
  <c r="I451" i="1"/>
  <c r="F452" i="1"/>
  <c r="H452" i="1"/>
  <c r="I452" i="1"/>
  <c r="F453" i="1"/>
  <c r="H453" i="1"/>
  <c r="I453" i="1"/>
  <c r="F454" i="1"/>
  <c r="H454" i="1"/>
  <c r="I454" i="1"/>
  <c r="F455" i="1"/>
  <c r="H455" i="1"/>
  <c r="I455" i="1"/>
  <c r="F456" i="1"/>
  <c r="H456" i="1"/>
  <c r="I456" i="1"/>
  <c r="F457" i="1"/>
  <c r="H457" i="1"/>
  <c r="I457" i="1"/>
  <c r="F458" i="1"/>
  <c r="H458" i="1"/>
  <c r="I458" i="1"/>
  <c r="F459" i="1"/>
  <c r="H459" i="1"/>
  <c r="I459" i="1"/>
  <c r="F460" i="1"/>
  <c r="H460" i="1"/>
  <c r="I460" i="1"/>
  <c r="F461" i="1"/>
  <c r="H461" i="1"/>
  <c r="I461" i="1"/>
  <c r="F462" i="1"/>
  <c r="H462" i="1"/>
  <c r="I462" i="1"/>
  <c r="F463" i="1"/>
  <c r="H463" i="1"/>
  <c r="I463" i="1"/>
  <c r="F464" i="1"/>
  <c r="H464" i="1"/>
  <c r="I464" i="1"/>
  <c r="F465" i="1"/>
  <c r="H465" i="1"/>
  <c r="I465" i="1"/>
  <c r="F466" i="1"/>
  <c r="H466" i="1"/>
  <c r="I466" i="1"/>
  <c r="F467" i="1"/>
  <c r="H467" i="1"/>
  <c r="I467" i="1"/>
  <c r="F468" i="1"/>
  <c r="H468" i="1"/>
  <c r="I468" i="1"/>
  <c r="F469" i="1"/>
  <c r="H469" i="1"/>
  <c r="I469" i="1"/>
  <c r="F470" i="1"/>
  <c r="H470" i="1"/>
  <c r="I470" i="1"/>
  <c r="F471" i="1"/>
  <c r="H471" i="1"/>
  <c r="I471" i="1"/>
  <c r="F472" i="1"/>
  <c r="H472" i="1"/>
  <c r="I472" i="1"/>
  <c r="F473" i="1"/>
  <c r="H473" i="1"/>
  <c r="I473" i="1"/>
  <c r="F474" i="1"/>
  <c r="H474" i="1"/>
  <c r="I474" i="1"/>
  <c r="F475" i="1"/>
  <c r="H475" i="1"/>
  <c r="I475" i="1"/>
  <c r="F476" i="1"/>
  <c r="H476" i="1"/>
  <c r="I476" i="1"/>
  <c r="F477" i="1"/>
  <c r="H477" i="1"/>
  <c r="I477" i="1"/>
  <c r="F478" i="1"/>
  <c r="H478" i="1"/>
  <c r="I478" i="1"/>
  <c r="F479" i="1"/>
  <c r="H479" i="1"/>
  <c r="I479" i="1"/>
  <c r="F480" i="1"/>
  <c r="H480" i="1"/>
  <c r="I480" i="1"/>
  <c r="F481" i="1"/>
  <c r="H481" i="1"/>
  <c r="I481" i="1"/>
  <c r="F482" i="1"/>
  <c r="H482" i="1"/>
  <c r="I482" i="1"/>
  <c r="F483" i="1"/>
  <c r="H483" i="1"/>
  <c r="I483" i="1"/>
  <c r="F484" i="1"/>
  <c r="H484" i="1"/>
  <c r="I484" i="1"/>
  <c r="F485" i="1"/>
  <c r="H485" i="1"/>
  <c r="I485" i="1"/>
  <c r="F486" i="1"/>
  <c r="H486" i="1"/>
  <c r="I486" i="1"/>
  <c r="F487" i="1"/>
  <c r="H487" i="1"/>
  <c r="I487" i="1"/>
  <c r="F488" i="1"/>
  <c r="H488" i="1"/>
  <c r="I488" i="1"/>
  <c r="F489" i="1"/>
  <c r="H489" i="1"/>
  <c r="I489" i="1"/>
  <c r="F490" i="1"/>
  <c r="H490" i="1"/>
  <c r="I490" i="1"/>
  <c r="F491" i="1"/>
  <c r="H491" i="1"/>
  <c r="I491" i="1"/>
  <c r="F492" i="1"/>
  <c r="H492" i="1"/>
  <c r="I492" i="1"/>
  <c r="F493" i="1"/>
  <c r="H493" i="1"/>
  <c r="I493" i="1"/>
  <c r="F494" i="1"/>
  <c r="H494" i="1"/>
  <c r="I494" i="1"/>
  <c r="F495" i="1"/>
  <c r="H495" i="1"/>
  <c r="I495" i="1"/>
  <c r="F496" i="1"/>
  <c r="H496" i="1"/>
  <c r="I496" i="1"/>
  <c r="F497" i="1"/>
  <c r="H497" i="1"/>
  <c r="I497" i="1"/>
  <c r="F498" i="1"/>
  <c r="H498" i="1"/>
  <c r="I498" i="1"/>
  <c r="F499" i="1"/>
  <c r="H499" i="1"/>
  <c r="I499" i="1"/>
  <c r="F500" i="1"/>
  <c r="H500" i="1"/>
  <c r="I500" i="1"/>
  <c r="F501" i="1"/>
  <c r="H501" i="1"/>
  <c r="I501" i="1"/>
  <c r="F502" i="1"/>
  <c r="H502" i="1"/>
  <c r="I502" i="1"/>
  <c r="F503" i="1"/>
  <c r="H503" i="1"/>
  <c r="I503" i="1"/>
  <c r="F504" i="1"/>
  <c r="H504" i="1"/>
  <c r="I504" i="1"/>
  <c r="F505" i="1"/>
  <c r="H505" i="1"/>
  <c r="I505" i="1"/>
  <c r="F506" i="1"/>
  <c r="H506" i="1"/>
  <c r="I506" i="1"/>
  <c r="F507" i="1"/>
  <c r="H507" i="1"/>
  <c r="I507" i="1"/>
  <c r="F508" i="1"/>
  <c r="H508" i="1"/>
  <c r="I508" i="1"/>
  <c r="F509" i="1"/>
  <c r="H509" i="1"/>
  <c r="I509" i="1"/>
  <c r="F510" i="1"/>
  <c r="H510" i="1"/>
  <c r="I510" i="1"/>
  <c r="F511" i="1"/>
  <c r="H511" i="1"/>
  <c r="I511" i="1"/>
  <c r="F512" i="1"/>
  <c r="H512" i="1"/>
  <c r="I512" i="1"/>
  <c r="F513" i="1"/>
  <c r="H513" i="1"/>
  <c r="I513" i="1"/>
  <c r="F514" i="1"/>
  <c r="H514" i="1"/>
  <c r="I514" i="1"/>
  <c r="F515" i="1"/>
  <c r="H515" i="1"/>
  <c r="I515" i="1"/>
  <c r="F516" i="1"/>
  <c r="H516" i="1"/>
  <c r="I516" i="1"/>
  <c r="E518" i="1"/>
  <c r="F519" i="1"/>
  <c r="H519" i="1"/>
  <c r="I519" i="1"/>
  <c r="F520" i="1"/>
  <c r="H520" i="1"/>
  <c r="I520" i="1"/>
  <c r="F521" i="1"/>
  <c r="H521" i="1"/>
  <c r="I521" i="1"/>
  <c r="F522" i="1"/>
  <c r="H522" i="1"/>
  <c r="I522" i="1"/>
  <c r="F523" i="1"/>
  <c r="H523" i="1"/>
  <c r="I523" i="1"/>
  <c r="F524" i="1"/>
  <c r="H524" i="1"/>
  <c r="I524" i="1"/>
  <c r="F525" i="1"/>
  <c r="H525" i="1"/>
  <c r="I525" i="1"/>
  <c r="F526" i="1"/>
  <c r="H526" i="1"/>
  <c r="I526" i="1"/>
  <c r="F527" i="1"/>
  <c r="H527" i="1"/>
  <c r="I527" i="1"/>
  <c r="F528" i="1"/>
  <c r="H528" i="1"/>
  <c r="I528" i="1"/>
  <c r="F529" i="1"/>
  <c r="H529" i="1"/>
  <c r="I529" i="1"/>
  <c r="F530" i="1"/>
  <c r="H530" i="1"/>
  <c r="I530" i="1"/>
  <c r="F531" i="1"/>
  <c r="H531" i="1"/>
  <c r="I531" i="1"/>
  <c r="F532" i="1"/>
  <c r="H532" i="1"/>
  <c r="I532" i="1"/>
  <c r="F533" i="1"/>
  <c r="H533" i="1"/>
  <c r="I533" i="1"/>
  <c r="F534" i="1"/>
  <c r="H534" i="1"/>
  <c r="I534" i="1"/>
  <c r="F535" i="1"/>
  <c r="H535" i="1"/>
  <c r="I535" i="1"/>
  <c r="F536" i="1"/>
  <c r="H536" i="1"/>
  <c r="I536" i="1"/>
  <c r="F537" i="1"/>
  <c r="H537" i="1"/>
  <c r="I537" i="1"/>
  <c r="F538" i="1"/>
  <c r="H538" i="1"/>
  <c r="I538" i="1"/>
  <c r="F539" i="1"/>
  <c r="H539" i="1"/>
  <c r="I539" i="1"/>
  <c r="F540" i="1"/>
  <c r="H540" i="1"/>
  <c r="I540" i="1"/>
  <c r="F541" i="1"/>
  <c r="H541" i="1"/>
  <c r="I541" i="1"/>
  <c r="F542" i="1"/>
  <c r="H542" i="1"/>
  <c r="I542" i="1"/>
  <c r="F543" i="1"/>
  <c r="H543" i="1"/>
  <c r="I543" i="1"/>
  <c r="F544" i="1"/>
  <c r="H544" i="1"/>
  <c r="I544" i="1"/>
  <c r="F545" i="1"/>
  <c r="H545" i="1"/>
  <c r="I545" i="1"/>
  <c r="F546" i="1"/>
  <c r="H546" i="1"/>
  <c r="I546" i="1"/>
  <c r="F547" i="1"/>
  <c r="H547" i="1"/>
  <c r="I547" i="1"/>
  <c r="F548" i="1"/>
  <c r="H548" i="1"/>
  <c r="I548" i="1"/>
  <c r="F549" i="1"/>
  <c r="H549" i="1"/>
  <c r="I549" i="1"/>
  <c r="F550" i="1"/>
  <c r="H550" i="1"/>
  <c r="I550" i="1"/>
  <c r="F551" i="1"/>
  <c r="H551" i="1"/>
  <c r="I551" i="1"/>
  <c r="E553" i="1"/>
  <c r="F554" i="1"/>
  <c r="H554" i="1"/>
  <c r="I554" i="1"/>
  <c r="F555" i="1"/>
  <c r="H555" i="1"/>
  <c r="I555" i="1"/>
  <c r="F556" i="1"/>
  <c r="H556" i="1"/>
  <c r="I556" i="1"/>
  <c r="F557" i="1"/>
  <c r="H557" i="1"/>
  <c r="I557" i="1"/>
  <c r="F558" i="1"/>
  <c r="H558" i="1"/>
  <c r="I558" i="1"/>
  <c r="F559" i="1"/>
  <c r="H559" i="1"/>
  <c r="I559" i="1"/>
  <c r="F560" i="1"/>
  <c r="H560" i="1"/>
  <c r="I560" i="1"/>
  <c r="F561" i="1"/>
  <c r="H561" i="1"/>
  <c r="I561" i="1"/>
  <c r="F562" i="1"/>
  <c r="H562" i="1"/>
  <c r="I562" i="1"/>
  <c r="F563" i="1"/>
  <c r="H563" i="1"/>
  <c r="I563" i="1"/>
  <c r="F564" i="1"/>
  <c r="H564" i="1"/>
  <c r="I564" i="1"/>
  <c r="F565" i="1"/>
  <c r="H565" i="1"/>
  <c r="I565" i="1"/>
  <c r="F566" i="1"/>
  <c r="H566" i="1"/>
  <c r="I566" i="1"/>
  <c r="F567" i="1"/>
  <c r="H567" i="1"/>
  <c r="I567" i="1"/>
  <c r="F568" i="1"/>
  <c r="H568" i="1"/>
  <c r="I568" i="1"/>
  <c r="F569" i="1"/>
  <c r="H569" i="1"/>
  <c r="I569" i="1"/>
  <c r="F570" i="1"/>
  <c r="H570" i="1"/>
  <c r="I570" i="1"/>
  <c r="F571" i="1"/>
  <c r="H571" i="1"/>
  <c r="I571" i="1"/>
  <c r="F572" i="1"/>
  <c r="H572" i="1"/>
  <c r="I572" i="1"/>
  <c r="D52" i="1"/>
  <c r="D53" i="1" s="1"/>
  <c r="D98" i="1"/>
  <c r="D99" i="1" s="1"/>
  <c r="D101" i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305" i="1"/>
  <c r="D306" i="1" s="1"/>
  <c r="D518" i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3" i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274" i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132" i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307" i="1" l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7" i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4" i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131" i="1"/>
  <c r="D334" i="1"/>
  <c r="D273" i="1"/>
  <c r="D304" i="1"/>
  <c r="D573" i="1"/>
  <c r="D100" i="1"/>
  <c r="D97" i="1"/>
  <c r="D552" i="1"/>
  <c r="D517" i="1"/>
  <c r="D51" i="1"/>
</calcChain>
</file>

<file path=xl/sharedStrings.xml><?xml version="1.0" encoding="utf-8"?>
<sst xmlns="http://schemas.openxmlformats.org/spreadsheetml/2006/main" count="4021" uniqueCount="2776">
  <si>
    <t>Fit</t>
  </si>
  <si>
    <t>Destination Port Name</t>
  </si>
  <si>
    <t>Hide</t>
  </si>
  <si>
    <t>Arrival Date</t>
  </si>
  <si>
    <t>Vessel Name</t>
  </si>
  <si>
    <t>Voyage No.</t>
  </si>
  <si>
    <t>=E5</t>
  </si>
  <si>
    <t>=NL("Rows=3","Vessel Schedule","Destination Port Name")</t>
  </si>
  <si>
    <t>=D5</t>
  </si>
  <si>
    <t>=NL("Rows","Vessel Schedule",,"Destination Port Name","@@"&amp;$D6,"+Arrival Date","*")</t>
  </si>
  <si>
    <t>=NF($F6,"Arrival Date")</t>
  </si>
  <si>
    <t>=NF($F6,"Vessel Name")</t>
  </si>
  <si>
    <t>=NF($F6,"Voyage No.")</t>
  </si>
  <si>
    <t>=D6</t>
  </si>
  <si>
    <t>Auto</t>
  </si>
  <si>
    <t>="""BC Live Database"",""Gurrentz"",""50013"",""20"",""CHAS"",""1"",""MAIN"",""10"",""135"",""40"",""BR"""</t>
  </si>
  <si>
    <t>=D7</t>
  </si>
  <si>
    <t>="""BC Live Database"",""Gurrentz"",""50013"",""20"",""CHAS"",""1"",""MAIN"",""10"",""135"",""40"",""NZ"""</t>
  </si>
  <si>
    <t>=D8</t>
  </si>
  <si>
    <t>="""BC Live Database"",""Gurrentz"",""50013"",""20"",""CHAS"",""1"",""SPSH"",""10"",""137"",""40"",""AU"""</t>
  </si>
  <si>
    <t>=D9</t>
  </si>
  <si>
    <t>="""BC Live Database"",""Gurrentz"",""50013"",""20"",""CHAS"",""1"",""SPSH"",""10"",""137"",""40"",""NZ"""</t>
  </si>
  <si>
    <t>=D10</t>
  </si>
  <si>
    <t>="""BC Live Database"",""Gurrentz"",""50013"",""20"",""CHAS"",""1"",""SABA"",""10"",""139"",""40"",""AU"""</t>
  </si>
  <si>
    <t>=D11</t>
  </si>
  <si>
    <t>="""BC Live Database"",""Gurrentz"",""50013"",""20"",""CHAS"",""1"",""SABA"",""10"",""139"",""40"",""NZ"""</t>
  </si>
  <si>
    <t>=D12</t>
  </si>
  <si>
    <t>="""BC Live Database"",""Gurrentz"",""50013"",""20"",""CHAS"",""1"",""SPSY"",""10"",""140"",""40"",""AU"""</t>
  </si>
  <si>
    <t>=D13</t>
  </si>
  <si>
    <t>="""BC Live Database"",""Gurrentz"",""50013"",""20"",""CHAS"",""1"",""SPSY"",""10"",""140"",""40"",""NZ"""</t>
  </si>
  <si>
    <t>=D14</t>
  </si>
  <si>
    <t>="""BC Live Database"",""Gurrentz"",""50013"",""20"",""CHAS"",""1"",""OLFM"",""10"",""141"",""40"",""AU"""</t>
  </si>
  <si>
    <t>=D15</t>
  </si>
  <si>
    <t>="""BC Live Database"",""Gurrentz"",""50013"",""20"",""CHAS"",""1"",""OLFM"",""10"",""141"",""40"",""NZ"""</t>
  </si>
  <si>
    <t>=D16</t>
  </si>
  <si>
    <t>="""BC Live Database"",""Gurrentz"",""50013"",""20"",""CHAS"",""1"",""SPAU"",""10"",""142"",""40"",""AU"""</t>
  </si>
  <si>
    <t>=D17</t>
  </si>
  <si>
    <t>="""BC Live Database"",""Gurrentz"",""50013"",""20"",""CHAS"",""1"",""SPAU"",""10"",""142"",""40"",""NZ"""</t>
  </si>
  <si>
    <t>=D18</t>
  </si>
  <si>
    <t>="""BC Live Database"",""Gurrentz"",""50013"",""20"",""CHAS"",""1"",""OLGM"",""10"",""143"",""40"",""AU"""</t>
  </si>
  <si>
    <t>=D19</t>
  </si>
  <si>
    <t>="""BC Live Database"",""Gurrentz"",""50013"",""20"",""CHAS"",""1"",""OLGM"",""10"",""143"",""40"",""NZ"""</t>
  </si>
  <si>
    <t>=D20</t>
  </si>
  <si>
    <t>="""BC Live Database"",""Gurrentz"",""50013"",""20"",""CHAS"",""1"",""SPME"",""10"",""144"",""40"",""AU"""</t>
  </si>
  <si>
    <t>=D21</t>
  </si>
  <si>
    <t>="""BC Live Database"",""Gurrentz"",""50013"",""20"",""CHAS"",""1"",""SPME"",""10"",""144"",""40"",""NZ"""</t>
  </si>
  <si>
    <t>=D22</t>
  </si>
  <si>
    <t>="""BC Live Database"",""Gurrentz"",""50013"",""20"",""CHAS"",""1"",""MABI"",""10"",""145"",""40"",""AU"""</t>
  </si>
  <si>
    <t>=D23</t>
  </si>
  <si>
    <t>="""BC Live Database"",""Gurrentz"",""50013"",""20"",""CHAS"",""1"",""MABI"",""10"",""145"",""40"",""NZ"""</t>
  </si>
  <si>
    <t>=D24</t>
  </si>
  <si>
    <t>="""BC Live Database"",""Gurrentz"",""50013"",""20"",""CHAS"",""1"",""SPSI"",""10"",""146"",""40"",""AU"""</t>
  </si>
  <si>
    <t>=D25</t>
  </si>
  <si>
    <t>="""BC Live Database"",""Gurrentz"",""50013"",""20"",""CHAS"",""1"",""SPSI"",""10"",""146"",""40"",""NZ"""</t>
  </si>
  <si>
    <t>=D26</t>
  </si>
  <si>
    <t>="""BC Live Database"",""Gurrentz"",""50013"",""20"",""CHAS"",""1"",""MAIN"",""10"",""147"",""40"",""AU"""</t>
  </si>
  <si>
    <t>=D27</t>
  </si>
  <si>
    <t>="""BC Live Database"",""Gurrentz"",""50013"",""20"",""CHAS"",""1"",""MAIN"",""10"",""147"",""40"",""NZ"""</t>
  </si>
  <si>
    <t>=D28</t>
  </si>
  <si>
    <t>="""BC Live Database"",""Gurrentz"",""50013"",""20"",""CHAS"",""1"",""OLIM"",""10"",""148"",""40"",""AU"""</t>
  </si>
  <si>
    <t>=D29</t>
  </si>
  <si>
    <t>="""BC Live Database"",""Gurrentz"",""50013"",""20"",""CHAS"",""1"",""OLIM"",""10"",""148"",""40"",""NZ"""</t>
  </si>
  <si>
    <t>=D30</t>
  </si>
  <si>
    <t>="""BC Live Database"",""Gurrentz"",""50013"",""20"",""CHAS"",""1"",""SPSH"",""10"",""149"",""40"",""AU"""</t>
  </si>
  <si>
    <t>=D31</t>
  </si>
  <si>
    <t>="""BC Live Database"",""Gurrentz"",""50013"",""20"",""CHAS"",""1"",""SPSH"",""10"",""149"",""40"",""NZ"""</t>
  </si>
  <si>
    <t>=D32</t>
  </si>
  <si>
    <t>="""BC Live Database"",""Gurrentz"",""50013"",""20"",""CHAS"",""1"",""SABA"",""10"",""150"",""40"",""AU"""</t>
  </si>
  <si>
    <t>=D33</t>
  </si>
  <si>
    <t>="""BC Live Database"",""Gurrentz"",""50013"",""20"",""CHAS"",""1"",""SABA"",""10"",""150"",""40"",""NZ"""</t>
  </si>
  <si>
    <t>=D34</t>
  </si>
  <si>
    <t>="""BC Live Database"",""Gurrentz"",""50013"",""20"",""CHAS"",""1"",""SPSY"",""10"",""151"",""40"",""AU"""</t>
  </si>
  <si>
    <t>=D35</t>
  </si>
  <si>
    <t>="""BC Live Database"",""Gurrentz"",""50013"",""20"",""CHAS"",""1"",""SPSY"",""10"",""151"",""40"",""NZ"""</t>
  </si>
  <si>
    <t>=D36</t>
  </si>
  <si>
    <t>="""BC Live Database"",""Gurrentz"",""50013"",""20"",""CHAS"",""1"",""OLFM"",""10"",""152"",""40"",""AU"""</t>
  </si>
  <si>
    <t>=D37</t>
  </si>
  <si>
    <t>="""BC Live Database"",""Gurrentz"",""50013"",""20"",""CHAS"",""1"",""OLFM"",""10"",""152"",""40"",""NZ"""</t>
  </si>
  <si>
    <t>=D38</t>
  </si>
  <si>
    <t>="""BC Live Database"",""Gurrentz"",""50013"",""20"",""CHAS"",""1"",""SPAU"",""10"",""201"",""40"",""AU"""</t>
  </si>
  <si>
    <t>=D39</t>
  </si>
  <si>
    <t>="""BC Live Database"",""Gurrentz"",""50013"",""20"",""CHAS"",""1"",""SPAU"",""10"",""201"",""40"",""NZ"""</t>
  </si>
  <si>
    <t>=D40</t>
  </si>
  <si>
    <t>="""BC Live Database"",""Gurrentz"",""50013"",""20"",""CHAS"",""1"",""OLGM"",""10"",""202"",""40"",""AU"""</t>
  </si>
  <si>
    <t>=D41</t>
  </si>
  <si>
    <t>="""BC Live Database"",""Gurrentz"",""50013"",""20"",""CHAS"",""1"",""OLGM"",""10"",""202"",""40"",""NZ"""</t>
  </si>
  <si>
    <t>=D42</t>
  </si>
  <si>
    <t>="""BC Live Database"",""Gurrentz"",""50013"",""20"",""CHAS"",""1"",""MABI"",""10"",""204"",""40"",""AU"""</t>
  </si>
  <si>
    <t>=D43</t>
  </si>
  <si>
    <t>="""BC Live Database"",""Gurrentz"",""50013"",""20"",""CHAS"",""1"",""MABI"",""10"",""204"",""40"",""NZ"""</t>
  </si>
  <si>
    <t>=D44</t>
  </si>
  <si>
    <t>="""BC Live Database"",""Gurrentz"",""50013"",""20"",""CHAS"",""1"",""BOGO"",""10"",""205"",""40"",""AU"""</t>
  </si>
  <si>
    <t>=D45</t>
  </si>
  <si>
    <t>="""BC Live Database"",""Gurrentz"",""50013"",""20"",""CHAS"",""1"",""BOGO"",""10"",""205"",""40"",""NZ"""</t>
  </si>
  <si>
    <t>=D46</t>
  </si>
  <si>
    <t>="""BC Live Database"",""Gurrentz"",""50013"",""20"",""CHAS"",""1"",""SPME"",""10"",""203"",""40"",""AU"""</t>
  </si>
  <si>
    <t>=D47</t>
  </si>
  <si>
    <t>="""BC Live Database"",""Gurrentz"",""50013"",""20"",""CHAS"",""1"",""SPME"",""10"",""203"",""40"",""NZ"""</t>
  </si>
  <si>
    <t>=D48</t>
  </si>
  <si>
    <t>="""BC Live Database"",""Gurrentz"",""50013"",""20"",""CHAS"",""1"",""MAIN"",""10"",""206"",""40"",""AU"""</t>
  </si>
  <si>
    <t>=D49</t>
  </si>
  <si>
    <t>="""BC Live Database"",""Gurrentz"",""50013"",""20"",""CHAS"",""1"",""MAIN"",""10"",""206"",""40"",""NZ"""</t>
  </si>
  <si>
    <t>=E52</t>
  </si>
  <si>
    <t>="Everglades, FL"</t>
  </si>
  <si>
    <t>=D52</t>
  </si>
  <si>
    <t>=NL("Rows","Vessel Schedule",,"Destination Port Name","@@"&amp;$D53,"+Arrival Date","*")</t>
  </si>
  <si>
    <t>=D53</t>
  </si>
  <si>
    <t>="""BC Live Database"",""Gurrentz"",""50013"",""20"",""EVER"",""1"",""MAIN"",""10"",""135"",""40"",""AU"""</t>
  </si>
  <si>
    <t>=D54</t>
  </si>
  <si>
    <t>="""BC Live Database"",""Gurrentz"",""50013"",""20"",""EVER"",""1"",""MAIN"",""10"",""135"",""40"",""NZ"""</t>
  </si>
  <si>
    <t>=D55</t>
  </si>
  <si>
    <t>="""BC Live Database"",""Gurrentz"",""50013"",""20"",""EVER"",""1"",""RIMA"",""10"",""131"",""40"",""NZ"""</t>
  </si>
  <si>
    <t>=D56</t>
  </si>
  <si>
    <t>="""BC Live Database"",""Gurrentz"",""50013"",""20"",""EVER"",""1"",""MASY"",""10"",""136"",""40"",""NZ"""</t>
  </si>
  <si>
    <t>=D57</t>
  </si>
  <si>
    <t>="""BC Live Database"",""Gurrentz"",""50013"",""20"",""EVER"",""1"",""DUEX"",""10"",""142"",""40"",""NZ"""</t>
  </si>
  <si>
    <t>=D58</t>
  </si>
  <si>
    <t>="""BC Live Database"",""Gurrentz"",""50013"",""20"",""EVER"",""1"",""MAGA"",""10"",""141"",""40"",""NZ"""</t>
  </si>
  <si>
    <t>=D59</t>
  </si>
  <si>
    <t>="""BC Live Database"",""Gurrentz"",""50013"",""20"",""EVER"",""1"",""ARMA"",""10"",""135"",""40"",""NZ"""</t>
  </si>
  <si>
    <t>=D60</t>
  </si>
  <si>
    <t>="""BC Live Database"",""Gurrentz"",""50013"",""20"",""EVER"",""1"",""BFLE"",""10"",""022"",""40"",""NZ"""</t>
  </si>
  <si>
    <t>=D61</t>
  </si>
  <si>
    <t>="""BC Live Database"",""Gurrentz"",""50013"",""20"",""EVER"",""1"",""NOPA"",""10"",""1534"",""40"",""NZ"""</t>
  </si>
  <si>
    <t>=D62</t>
  </si>
  <si>
    <t>="""BC Live Database"",""Gurrentz"",""50013"",""20"",""EVER"",""1"",""SPHA"",""10"",""143"",""40"",""NZ"""</t>
  </si>
  <si>
    <t>=D63</t>
  </si>
  <si>
    <t>="""BC Live Database"",""Gurrentz"",""50013"",""20"",""EVER"",""1"",""SABA"",""10"",""139"",""40"",""AU"""</t>
  </si>
  <si>
    <t>=D64</t>
  </si>
  <si>
    <t>="""BC Live Database"",""Gurrentz"",""50013"",""20"",""EVER"",""1"",""SABA"",""10"",""139"",""40"",""NZ"""</t>
  </si>
  <si>
    <t>=D65</t>
  </si>
  <si>
    <t>="""BC Live Database"",""Gurrentz"",""50013"",""20"",""EVER"",""1"",""MAGA"",""10"",""144"",""40"",""NZ"""</t>
  </si>
  <si>
    <t>=D66</t>
  </si>
  <si>
    <t>="""BC Live Database"",""Gurrentz"",""50013"",""20"",""EVER"",""1"",""OLIM"",""10"",""136"",""40"",""NZ"""</t>
  </si>
  <si>
    <t>=D67</t>
  </si>
  <si>
    <t>="""BC Live Database"",""Gurrentz"",""50013"",""20"",""EVER"",""1"",""SPSH"",""10"",""137"",""40"",""AU"""</t>
  </si>
  <si>
    <t>=D68</t>
  </si>
  <si>
    <t>="""BC Live Database"",""Gurrentz"",""50013"",""20"",""EVER"",""1"",""SPSH"",""10"",""137"",""40"",""NZ"""</t>
  </si>
  <si>
    <t>=D69</t>
  </si>
  <si>
    <t>="""BC Live Database"",""Gurrentz"",""50013"",""20"",""EVER"",""1"",""RIBL"",""10"",""132"",""40"",""NZ"""</t>
  </si>
  <si>
    <t>=D70</t>
  </si>
  <si>
    <t>="""BC Live Database"",""Gurrentz"",""50013"",""20"",""EVER"",""1"",""DUEX"",""10"",""145"",""40"",""NZ"""</t>
  </si>
  <si>
    <t>=D71</t>
  </si>
  <si>
    <t>="""BC Live Database"",""Gurrentz"",""50013"",""20"",""EVER"",""1"",""SPHA"",""10"",""146"",""40"",""NZ"""</t>
  </si>
  <si>
    <t>=D72</t>
  </si>
  <si>
    <t>="""BC Live Database"",""Gurrentz"",""50013"",""20"",""EVER"",""1"",""HASA"",""10"",""146"",""40"",""NZ"""</t>
  </si>
  <si>
    <t>=D73</t>
  </si>
  <si>
    <t>="""BC Live Database"",""Gurrentz"",""50013"",""20"",""EVER"",""1"",""MARU"",""10"",""1534"",""40"",""AU"""</t>
  </si>
  <si>
    <t>=D74</t>
  </si>
  <si>
    <t>="""BC Live Database"",""Gurrentz"",""50013"",""20"",""EVER"",""1"",""MARU"",""10"",""1534"",""40"",""NZ"""</t>
  </si>
  <si>
    <t>=D75</t>
  </si>
  <si>
    <t>="""BC Live Database"",""Gurrentz"",""50013"",""20"",""EVER"",""1"",""SPSY"",""10"",""140"",""40"",""AU"""</t>
  </si>
  <si>
    <t>=D76</t>
  </si>
  <si>
    <t>="""BC Live Database"",""Gurrentz"",""50013"",""20"",""EVER"",""1"",""SPSY"",""10"",""140"",""40"",""NZ"""</t>
  </si>
  <si>
    <t>=D77</t>
  </si>
  <si>
    <t>="""BC Live Database"",""Gurrentz"",""50013"",""20"",""EVER"",""1"",""MAGA"",""10"",""147"",""40"",""NZ"""</t>
  </si>
  <si>
    <t>=D78</t>
  </si>
  <si>
    <t>="""BC Live Database"",""Gurrentz"",""50013"",""20"",""EVER"",""1"",""OLFM"",""10"",""141"",""40"",""AU"""</t>
  </si>
  <si>
    <t>=D79</t>
  </si>
  <si>
    <t>="""BC Live Database"",""Gurrentz"",""50013"",""20"",""EVER"",""1"",""OLFM"",""10"",""141"",""40"",""NZ"""</t>
  </si>
  <si>
    <t>=D80</t>
  </si>
  <si>
    <t>="""BC Live Database"",""Gurrentz"",""50013"",""20"",""EVER"",""1"",""PEMO"",""10"",""2148"",""40"",""NZ"""</t>
  </si>
  <si>
    <t>=D81</t>
  </si>
  <si>
    <t>="""BC Live Database"",""Gurrentz"",""50013"",""20"",""EVER"",""1"",""MAGA"",""10"",""148"",""40"",""NZ"""</t>
  </si>
  <si>
    <t>=D82</t>
  </si>
  <si>
    <t>="""BC Live Database"",""Gurrentz"",""50013"",""20"",""EVER"",""1"",""CONS"",""10"",""149"",""40"",""NZ"""</t>
  </si>
  <si>
    <t>=D83</t>
  </si>
  <si>
    <t>="""BC Live Database"",""Gurrentz"",""50013"",""20"",""EVER"",""1"",""OLGM"",""10"",""143"",""40"",""AU"""</t>
  </si>
  <si>
    <t>=D84</t>
  </si>
  <si>
    <t>="""BC Live Database"",""Gurrentz"",""50013"",""20"",""EVER"",""1"",""OLGM"",""10"",""143"",""40"",""NZ"""</t>
  </si>
  <si>
    <t>=D85</t>
  </si>
  <si>
    <t>="""BC Live Database"",""Gurrentz"",""50013"",""20"",""EVER"",""1"",""GATE"",""10"",""145"",""40"",""NZ"""</t>
  </si>
  <si>
    <t>=D86</t>
  </si>
  <si>
    <t>="""BC Live Database"",""Gurrentz"",""50013"",""20"",""EVER"",""1"",""MAGA"",""10"",""150"",""40"",""NZ"""</t>
  </si>
  <si>
    <t>=D87</t>
  </si>
  <si>
    <t>="""BC Live Database"",""Gurrentz"",""50013"",""20"",""EVER"",""1"",""MABI"",""10"",""145"",""40"",""AU"""</t>
  </si>
  <si>
    <t>=D88</t>
  </si>
  <si>
    <t>="""BC Live Database"",""Gurrentz"",""50013"",""20"",""EVER"",""1"",""MABI"",""10"",""145"",""40"",""NZ"""</t>
  </si>
  <si>
    <t>=D89</t>
  </si>
  <si>
    <t>="""BC Live Database"",""Gurrentz"",""50013"",""20"",""EVER"",""1"",""SPME"",""10"",""144"",""40"",""NZ"""</t>
  </si>
  <si>
    <t>=D90</t>
  </si>
  <si>
    <t>="""BC Live Database"",""Gurrentz"",""50013"",""20"",""EVER"",""1"",""VEEX"",""10"",""149"",""40"",""NZ"""</t>
  </si>
  <si>
    <t>=D91</t>
  </si>
  <si>
    <t>="""BC Live Database"",""Gurrentz"",""50013"",""20"",""EVER"",""1"",""VEEX"",""10"",""151"",""40"",""NZ"""</t>
  </si>
  <si>
    <t>=D92</t>
  </si>
  <si>
    <t>="""BC Live Database"",""Gurrentz"",""50013"",""20"",""EVER"",""1"",""SPSY"",""10"",""151"",""40"",""NZ"""</t>
  </si>
  <si>
    <t>="Hawaii"</t>
  </si>
  <si>
    <t>=D95</t>
  </si>
  <si>
    <t>=NF($F96,"Arrival Date")</t>
  </si>
  <si>
    <t>=NF($F96,"Vessel Name")</t>
  </si>
  <si>
    <t>=NF($F96,"Voyage No.")</t>
  </si>
  <si>
    <t>=E98</t>
  </si>
  <si>
    <t>="Houston, TX"</t>
  </si>
  <si>
    <t>=D98</t>
  </si>
  <si>
    <t>=NL("Rows","Vessel Schedule",,"Destination Port Name","@@"&amp;$D99,"+Arrival Date","*")</t>
  </si>
  <si>
    <t>=D99</t>
  </si>
  <si>
    <t>="""BC Live Database"",""Gurrentz"",""50013"",""20"",""HOUS"",""1"",""NORB"",""10"",""054"",""40"",""NI"""</t>
  </si>
  <si>
    <t>="""BC Live Database"",""Gurrentz"",""50013"",""20"",""HOUS"",""1"",""ASPE"",""10"",""053"",""40"",""NI"""</t>
  </si>
  <si>
    <t>=D101</t>
  </si>
  <si>
    <t>="""BC Live Database"",""Gurrentz"",""50013"",""20"",""HOUS"",""1"",""SECA"",""10"",""142"",""40"",""NI"""</t>
  </si>
  <si>
    <t>=D102</t>
  </si>
  <si>
    <t>="""BC Live Database"",""Gurrentz"",""50013"",""20"",""HOUS"",""1"",""ASPE"",""10"",""054"",""40"",""NI"""</t>
  </si>
  <si>
    <t>=D103</t>
  </si>
  <si>
    <t>="""BC Live Database"",""Gurrentz"",""50013"",""20"",""HOUS"",""1"",""ASPA"",""10"",""032"",""40"",""NI"""</t>
  </si>
  <si>
    <t>=D104</t>
  </si>
  <si>
    <t>=D105</t>
  </si>
  <si>
    <t>="""BC Live Database"",""Gurrentz"",""50013"",""20"",""HOUS"",""1"",""ASPE"",""10"",""056"",""40"",""NI"""</t>
  </si>
  <si>
    <t>=D106</t>
  </si>
  <si>
    <t>="""BC Live Database"",""Gurrentz"",""50013"",""20"",""HOUS"",""1"",""NYDI"",""10"",""2144"",""40"",""BR"""</t>
  </si>
  <si>
    <t>=D107</t>
  </si>
  <si>
    <t>="""BC Live Database"",""Gurrentz"",""50013"",""20"",""HOUS"",""1"",""BRBE"",""10"",""149"",""40"",""BR"""</t>
  </si>
  <si>
    <t>=D108</t>
  </si>
  <si>
    <t>="""BC Live Database"",""Gurrentz"",""50013"",""20"",""HOUS"",""1"",""TIRUA"",""10"",""145"",""40"",""BR"""</t>
  </si>
  <si>
    <t>=D109</t>
  </si>
  <si>
    <t>="""BC Live Database"",""Gurrentz"",""50013"",""20"",""HOUS"",""1"",""EXFR"",""10"",""152"",""40"",""BR"""</t>
  </si>
  <si>
    <t>="Los Angeles, CA"</t>
  </si>
  <si>
    <t>=D112</t>
  </si>
  <si>
    <t>=D113</t>
  </si>
  <si>
    <t>=D114</t>
  </si>
  <si>
    <t>="""BC Live Database"",""Gurrentz"",""50013"",""20"",""LOSA"",""1"",""AIRF"",""10"",""1"",""40"",""AU"""</t>
  </si>
  <si>
    <t>=D115</t>
  </si>
  <si>
    <t>="""BC Live Database"",""Gurrentz"",""50013"",""20"",""LOSA"",""1"",""NOGU"",""10"",""125"",""40"",""AU"""</t>
  </si>
  <si>
    <t>=D116</t>
  </si>
  <si>
    <t>="""BC Live Database"",""Gurrentz"",""50013"",""20"",""LOSA"",""1"",""NOGU"",""10"",""125"",""40"",""NZ"""</t>
  </si>
  <si>
    <t>=D117</t>
  </si>
  <si>
    <t>="""BC Live Database"",""Gurrentz"",""50013"",""20"",""LOSA"",""1"",""NYLA"",""10"",""612"",""40"",""NI"""</t>
  </si>
  <si>
    <t>=D118</t>
  </si>
  <si>
    <t>="""BC Live Database"",""Gurrentz"",""50013"",""20"",""LOSA"",""1"",""MANO"",""10"",""001"",""40"",""NI"""</t>
  </si>
  <si>
    <t>=D119</t>
  </si>
  <si>
    <t>="""BC Live Database"",""Gurrentz"",""50013"",""20"",""LOSA"",""1"",""ANWA"",""10"",""131"",""40"",""AU"""</t>
  </si>
  <si>
    <t>=D120</t>
  </si>
  <si>
    <t>="""BC Live Database"",""Gurrentz"",""50013"",""20"",""LOSA"",""1"",""ANWA"",""10"",""131"",""40"",""NZ"""</t>
  </si>
  <si>
    <t>=D121</t>
  </si>
  <si>
    <t>="""BC Live Database"",""Gurrentz"",""50013"",""20"",""LOSA"",""1"",""MAEM"",""10"",""136"",""40"",""NZ"""</t>
  </si>
  <si>
    <t>=D122</t>
  </si>
  <si>
    <t>="""BC Live Database"",""Gurrentz"",""50013"",""20"",""LOSA"",""1"",""LOEX"",""10"",""127"",""40"",""AU"""</t>
  </si>
  <si>
    <t>=D123</t>
  </si>
  <si>
    <t>="""BC Live Database"",""Gurrentz"",""50013"",""20"",""LOSA"",""1"",""LOEX"",""10"",""127"",""40"",""NZ"""</t>
  </si>
  <si>
    <t>=D124</t>
  </si>
  <si>
    <t>="""BC Live Database"",""Gurrentz"",""50013"",""20"",""LOSA"",""1"",""RIBL"",""10"",""123"",""40"",""NZ"""</t>
  </si>
  <si>
    <t>=D125</t>
  </si>
  <si>
    <t>="""BC Live Database"",""Gurrentz"",""50013"",""20"",""LOSA"",""1"",""DEBU"",""10"",""126"",""40"",""AU"""</t>
  </si>
  <si>
    <t>=D126</t>
  </si>
  <si>
    <t>="""BC Live Database"",""Gurrentz"",""50013"",""20"",""LOSA"",""1"",""DEBU"",""10"",""126"",""40"",""NZ"""</t>
  </si>
  <si>
    <t>="""BC Live Database"",""Gurrentz"",""50013"",""20"",""LOSA"",""1"",""NYMA"",""10"",""613"",""40"",""NI"""</t>
  </si>
  <si>
    <t>="""BC Live Database"",""Gurrentz"",""50013"",""20"",""LOSA"",""1"",""MAAL"",""10"",""140"",""40"",""NZ"""</t>
  </si>
  <si>
    <t>=D129</t>
  </si>
  <si>
    <t>="""BC Live Database"",""Gurrentz"",""50013"",""20"",""LOSA"",""1"",""MANO"",""10"",""003"",""40"",""NI"""</t>
  </si>
  <si>
    <t>="""BC Live Database"",""Gurrentz"",""50013"",""20"",""LOSA"",""1"",""MANO"",""10"",""005"",""40"",""NI"""</t>
  </si>
  <si>
    <t>="""BC Live Database"",""Gurrentz"",""50013"",""20"",""LOSA"",""1"",""RIMA"",""10"",""131"",""40"",""NZ"""</t>
  </si>
  <si>
    <t>=D132</t>
  </si>
  <si>
    <t>="""BC Live Database"",""Gurrentz"",""50013"",""20"",""LOSA"",""1"",""SYOK"",""10"",""136"",""40"",""AU"""</t>
  </si>
  <si>
    <t>=D133</t>
  </si>
  <si>
    <t>="""BC Live Database"",""Gurrentz"",""50013"",""20"",""LOSA"",""1"",""SYOK"",""10"",""136"",""40"",""NZ"""</t>
  </si>
  <si>
    <t>=D134</t>
  </si>
  <si>
    <t>="""BC Live Database"",""Gurrentz"",""50013"",""20"",""LOSA"",""1"",""MSAL"",""10"",""137"",""40"",""AU"""</t>
  </si>
  <si>
    <t>=D135</t>
  </si>
  <si>
    <t>="""BC Live Database"",""Gurrentz"",""50013"",""20"",""LOSA"",""1"",""COCO"",""10"",""134"",""40"",""AU"""</t>
  </si>
  <si>
    <t>=D136</t>
  </si>
  <si>
    <t>="""BC Live Database"",""Gurrentz"",""50013"",""20"",""LOSA"",""1"",""MALT"",""10"",""104"",""40"",""NZ"""</t>
  </si>
  <si>
    <t>=D137</t>
  </si>
  <si>
    <t>="""BC Live Database"",""Gurrentz"",""50013"",""20"",""LOSA"",""1"",""CAJE"",""10"",""135"",""40"",""AU"""</t>
  </si>
  <si>
    <t>=D138</t>
  </si>
  <si>
    <t>="""BC Live Database"",""Gurrentz"",""50013"",""20"",""LOSA"",""1"",""CAJE"",""10"",""135"",""40"",""NZ"""</t>
  </si>
  <si>
    <t>=D139</t>
  </si>
  <si>
    <t>="""BC Live Database"",""Gurrentz"",""50013"",""20"",""LOSA"",""1"",""JPLI"",""10"",""111"",""40"",""NZ"""</t>
  </si>
  <si>
    <t>=D140</t>
  </si>
  <si>
    <t>="""BC Live Database"",""Gurrentz"",""50013"",""20"",""LOSA"",""1"",""SERA"",""10"",""143"",""40"",""NZ"""</t>
  </si>
  <si>
    <t>=D141</t>
  </si>
  <si>
    <t>="""BC Live Database"",""Gurrentz"",""50013"",""20"",""LOSA"",""1"",""MSMD"",""10"",""140"",""40"",""BR"""</t>
  </si>
  <si>
    <t>=D142</t>
  </si>
  <si>
    <t>="""BC Live Database"",""Gurrentz"",""50013"",""20"",""LOSA"",""1"",""AINO"",""10"",""144"",""40"",""BR"""</t>
  </si>
  <si>
    <t>=D143</t>
  </si>
  <si>
    <t>="""BC Live Database"",""Gurrentz"",""50013"",""20"",""LOSA"",""1"",""MATD"",""10"",""144"",""40"",""BR"""</t>
  </si>
  <si>
    <t>=D144</t>
  </si>
  <si>
    <t>="""BC Live Database"",""Gurrentz"",""50013"",""20"",""LOSA"",""1"",""MSAS"",""10"",""141"",""40"",""AU"""</t>
  </si>
  <si>
    <t>=D145</t>
  </si>
  <si>
    <t>="""BC Live Database"",""Gurrentz"",""50013"",""20"",""LOSA"",""1"",""NOGU"",""10"",""139"",""40"",""AU"""</t>
  </si>
  <si>
    <t>=D146</t>
  </si>
  <si>
    <t>="""BC Live Database"",""Gurrentz"",""50013"",""20"",""LOSA"",""1"",""NOGU"",""10"",""139"",""40"",""NZ"""</t>
  </si>
  <si>
    <t>=D147</t>
  </si>
  <si>
    <t>="""BC Live Database"",""Gurrentz"",""50013"",""20"",""LOSA"",""1"",""GEMA"",""10"",""144"",""40"",""NZ"""</t>
  </si>
  <si>
    <t>=D148</t>
  </si>
  <si>
    <t>="""BC Live Database"",""Gurrentz"",""50013"",""20"",""LOSA"",""1"",""MNOA"",""10"",""145"",""40"",""BR"""</t>
  </si>
  <si>
    <t>=D149</t>
  </si>
  <si>
    <t>="""BC Live Database"",""Gurrentz"",""50013"",""20"",""LOSA"",""1"",""MANO"",""10"",""149"",""40"",""NI"""</t>
  </si>
  <si>
    <t>=D150</t>
  </si>
  <si>
    <t>="""BC Live Database"",""Gurrentz"",""50013"",""20"",""LOSA"",""1"",""JOAN"",""10"",""156"",""40"",""NI"""</t>
  </si>
  <si>
    <t>=D151</t>
  </si>
  <si>
    <t>="""BC Live Database"",""Gurrentz"",""50013"",""20"",""LOSA"",""1"",""TOLT"",""10"",""2140"",""40"",""BR"""</t>
  </si>
  <si>
    <t>=D152</t>
  </si>
  <si>
    <t>="""BC Live Database"",""Gurrentz"",""50013"",""20"",""LOSA"",""1"",""MATE"",""10"",""128"",""40"",""NZ"""</t>
  </si>
  <si>
    <t>=D153</t>
  </si>
  <si>
    <t>="""BC Live Database"",""Gurrentz"",""50013"",""20"",""LOSA"",""1"",""MATI"",""10"",""144"",""40"",""BR"""</t>
  </si>
  <si>
    <t>=D154</t>
  </si>
  <si>
    <t>="""BC Live Database"",""Gurrentz"",""50013"",""20"",""LOSA"",""1"",""MATE"",""10"",""128"",""40"",""AU"""</t>
  </si>
  <si>
    <t>=D155</t>
  </si>
  <si>
    <t>="""BC Live Database"",""Gurrentz"",""50013"",""20"",""LOSA"",""1"",""SYKE"",""10"",""191"",""40"",""NZ"""</t>
  </si>
  <si>
    <t>=D156</t>
  </si>
  <si>
    <t>="""BC Live Database"",""Gurrentz"",""50013"",""20"",""LOSA"",""1"",""NOAA"",""10"",""145"",""40"",""BR"""</t>
  </si>
  <si>
    <t>=D157</t>
  </si>
  <si>
    <t>="""BC Live Database"",""Gurrentz"",""50013"",""20"",""LOSA"",""1"",""ROEX"",""10"",""245"",""40"",""BR"""</t>
  </si>
  <si>
    <t>=D158</t>
  </si>
  <si>
    <t>="""BC Live Database"",""Gurrentz"",""50013"",""20"",""LOSA"",""1"",""DUTC"",""10"",""139"",""40"",""NZ"""</t>
  </si>
  <si>
    <t>=D159</t>
  </si>
  <si>
    <t>="""BC Live Database"",""Gurrentz"",""50013"",""20"",""LOSA"",""1"",""MSDA"",""10"",""144"",""40"",""BR"""</t>
  </si>
  <si>
    <t>=D160</t>
  </si>
  <si>
    <t>=D161</t>
  </si>
  <si>
    <t>="""BC Live Database"",""Gurrentz"",""50013"",""20"",""LOSA"",""1"",""VEGA"",""10"",""149"",""40"",""AU"""</t>
  </si>
  <si>
    <t>=D162</t>
  </si>
  <si>
    <t>="""BC Live Database"",""Gurrentz"",""50013"",""20"",""LOSA"",""1"",""COCO"",""10"",""134"",""40"",""NZ"""</t>
  </si>
  <si>
    <t>=D163</t>
  </si>
  <si>
    <t>="""BC Live Database"",""Gurrentz"",""50013"",""20"",""LOSA"",""1"",""KOLA"",""10"",""055"",""40"",""AU"""</t>
  </si>
  <si>
    <t>=D164</t>
  </si>
  <si>
    <t>="""BC Live Database"",""Gurrentz"",""50013"",""20"",""LOSA"",""1"",""MANO"",""10"",""151"",""40"",""BR"""</t>
  </si>
  <si>
    <t>=D165</t>
  </si>
  <si>
    <t>="""BC Live Database"",""Gurrentz"",""50013"",""20"",""LOSA"",""1"",""SYKE"",""10"",""137"",""40"",""AU"""</t>
  </si>
  <si>
    <t>=D166</t>
  </si>
  <si>
    <t>="""BC Live Database"",""Gurrentz"",""50013"",""20"",""LOSA"",""1"",""SYKE"",""10"",""137"",""40"",""NZ"""</t>
  </si>
  <si>
    <t>=D167</t>
  </si>
  <si>
    <t>="""BC Live Database"",""Gurrentz"",""50013"",""20"",""LOSA"",""1"",""YANG"",""10"",""146"",""40"",""BR"""</t>
  </si>
  <si>
    <t>=D168</t>
  </si>
  <si>
    <t>="""BC Live Database"",""Gurrentz"",""50013"",""20"",""LOSA"",""1"",""MKAT"",""10"",""144"",""40"",""NZ"""</t>
  </si>
  <si>
    <t>=D169</t>
  </si>
  <si>
    <t>="""BC Live Database"",""Gurrentz"",""50013"",""20"",""LOSA"",""1"",""DEBU"",""10"",""138"",""40"",""AU"""</t>
  </si>
  <si>
    <t>=D170</t>
  </si>
  <si>
    <t>="""BC Live Database"",""Gurrentz"",""50013"",""20"",""LOSA"",""1"",""DEBU"",""10"",""138"",""40"",""NZ"""</t>
  </si>
  <si>
    <t>=D171</t>
  </si>
  <si>
    <t>="""BC Live Database"",""Gurrentz"",""50013"",""20"",""LOSA"",""1"",""MANO"",""10"",""151"",""40"",""NI"""</t>
  </si>
  <si>
    <t>=D172</t>
  </si>
  <si>
    <t>="""BC Live Database"",""Gurrentz"",""50013"",""20"",""LOSA"",""1"",""BRBE"",""10"",""149"",""40"",""BR"""</t>
  </si>
  <si>
    <t>=D173</t>
  </si>
  <si>
    <t>="""BC Live Database"",""Gurrentz"",""50013"",""20"",""LOSA"",""1"",""ATOUT"",""10"",""142"",""40"",""AU"""</t>
  </si>
  <si>
    <t>=D174</t>
  </si>
  <si>
    <t>="""BC Live Database"",""Gurrentz"",""50013"",""20"",""LOSA"",""1"",""JPLI"",""10"",""136"",""40"",""AU"""</t>
  </si>
  <si>
    <t>=D175</t>
  </si>
  <si>
    <t>="""BC Live Database"",""Gurrentz"",""50013"",""20"",""LOSA"",""1"",""JPLI"",""10"",""136"",""40"",""NZ"""</t>
  </si>
  <si>
    <t>=D176</t>
  </si>
  <si>
    <t>="""BC Live Database"",""Gurrentz"",""50013"",""20"",""LOSA"",""1"",""LOEX"",""10"",""140"",""40"",""AU"""</t>
  </si>
  <si>
    <t>=D177</t>
  </si>
  <si>
    <t>="""BC Live Database"",""Gurrentz"",""50013"",""20"",""LOSA"",""1"",""LOEX"",""10"",""140"",""40"",""NZ"""</t>
  </si>
  <si>
    <t>=D178</t>
  </si>
  <si>
    <t>="""BC Live Database"",""Gurrentz"",""50013"",""20"",""LOSA"",""1"",""RIBR"",""10"",""141"",""40"",""NZ"""</t>
  </si>
  <si>
    <t>=D179</t>
  </si>
  <si>
    <t>="""BC Live Database"",""Gurrentz"",""50013"",""20"",""LOSA"",""1"",""AGDI"",""10"",""150"",""40"",""BR"""</t>
  </si>
  <si>
    <t>=D180</t>
  </si>
  <si>
    <t>="""BC Live Database"",""Gurrentz"",""50013"",""20"",""LOSA"",""1"",""ANWA"",""10"",""145"",""40"",""AU"""</t>
  </si>
  <si>
    <t>=D181</t>
  </si>
  <si>
    <t>="""BC Live Database"",""Gurrentz"",""50013"",""20"",""LOSA"",""1"",""ANWA"",""10"",""145"",""40"",""NZ"""</t>
  </si>
  <si>
    <t>=D182</t>
  </si>
  <si>
    <t>="""BC Live Database"",""Gurrentz"",""50013"",""20"",""LOSA"",""1"",""CAJE"",""10"",""147"",""40"",""AU"""</t>
  </si>
  <si>
    <t>=D183</t>
  </si>
  <si>
    <t>="""BC Live Database"",""Gurrentz"",""50013"",""20"",""LOSA"",""1"",""CAJE"",""10"",""147"",""40"",""NZ"""</t>
  </si>
  <si>
    <t>=D184</t>
  </si>
  <si>
    <t>="""BC Live Database"",""Gurrentz"",""50013"",""20"",""LOSA"",""1"",""MATE"",""10"",""146"",""40"",""AU"""</t>
  </si>
  <si>
    <t>=D185</t>
  </si>
  <si>
    <t>="""BC Live Database"",""Gurrentz"",""50013"",""20"",""LOSA"",""1"",""MATE"",""10"",""146"",""40"",""NZ"""</t>
  </si>
  <si>
    <t>=D186</t>
  </si>
  <si>
    <t>="""BC Live Database"",""Gurrentz"",""50013"",""20"",""LOSA"",""1"",""ACON"",""10"",""151"",""40"",""BR"""</t>
  </si>
  <si>
    <t>=D187</t>
  </si>
  <si>
    <t>="""BC Live Database"",""Gurrentz"",""50013"",""20"",""LOSA"",""1"",""MHHA"",""10"",""150"",""40"",""AR"""</t>
  </si>
  <si>
    <t>=D188</t>
  </si>
  <si>
    <t>="""BC Live Database"",""Gurrentz"",""50013"",""20"",""LOSA"",""1"",""MHHA"",""10"",""150"",""40"",""BR"""</t>
  </si>
  <si>
    <t>=D189</t>
  </si>
  <si>
    <t>="""BC Live Database"",""Gurrentz"",""50013"",""20"",""LOSA"",""1"",""COCO"",""10"",""148"",""40"",""AU"""</t>
  </si>
  <si>
    <t>=D190</t>
  </si>
  <si>
    <t>="""BC Live Database"",""Gurrentz"",""50013"",""20"",""LOSA"",""1"",""COCO"",""10"",""148"",""40"",""NZ"""</t>
  </si>
  <si>
    <t>=D191</t>
  </si>
  <si>
    <t>="""BC Live Database"",""Gurrentz"",""50013"",""20"",""LOSA"",""1"",""SYKE"",""10"",""150"",""40"",""AU"""</t>
  </si>
  <si>
    <t>=D192</t>
  </si>
  <si>
    <t>="""BC Live Database"",""Gurrentz"",""50013"",""20"",""LOSA"",""1"",""SYKE"",""10"",""150"",""40"",""NZ"""</t>
  </si>
  <si>
    <t>=D193</t>
  </si>
  <si>
    <t>="""BC Live Database"",""Gurrentz"",""50013"",""20"",""LOSA"",""1"",""DUTC"",""10"",""152"",""40"",""AU"""</t>
  </si>
  <si>
    <t>=D194</t>
  </si>
  <si>
    <t>="""BC Live Database"",""Gurrentz"",""50013"",""20"",""LOSA"",""1"",""DUTC"",""10"",""152"",""40"",""NZ"""</t>
  </si>
  <si>
    <t>=D195</t>
  </si>
  <si>
    <t>="""BC Live Database"",""Gurrentz"",""50013"",""20"",""LOSA"",""1"",""ANWA"",""10"",""202"",""40"",""AU"""</t>
  </si>
  <si>
    <t>=D196</t>
  </si>
  <si>
    <t>="""BC Live Database"",""Gurrentz"",""50013"",""20"",""LOSA"",""1"",""ANWA"",""10"",""202"",""40"",""NZ"""</t>
  </si>
  <si>
    <t>=D197</t>
  </si>
  <si>
    <t>="""BC Live Database"",""Gurrentz"",""50013"",""20"",""LOSA"",""1"",""LOEX"",""10"",""201"",""40"",""AU"""</t>
  </si>
  <si>
    <t>=D198</t>
  </si>
  <si>
    <t>="""BC Live Database"",""Gurrentz"",""50013"",""20"",""LOSA"",""1"",""LOEX"",""10"",""201"",""40"",""NG"""</t>
  </si>
  <si>
    <t>=D199</t>
  </si>
  <si>
    <t>="""BC Live Database"",""Gurrentz"",""50013"",""20"",""LOSA"",""1"",""MATE"",""10"",""203"",""40"",""AU"""</t>
  </si>
  <si>
    <t>=D200</t>
  </si>
  <si>
    <t>="""BC Live Database"",""Gurrentz"",""50013"",""20"",""LOSA"",""1"",""MATE"",""10"",""203"",""40"",""NZ"""</t>
  </si>
  <si>
    <t>=D201</t>
  </si>
  <si>
    <t>="""BC Live Database"",""Gurrentz"",""50013"",""20"",""LOSA"",""1"",""CAJE"",""10"",""204"",""40"",""AU"""</t>
  </si>
  <si>
    <t>=D202</t>
  </si>
  <si>
    <t>="""BC Live Database"",""Gurrentz"",""50013"",""20"",""LOSA"",""1"",""CAJE"",""10"",""204"",""40"",""NZ"""</t>
  </si>
  <si>
    <t>="Miami, FL"</t>
  </si>
  <si>
    <t>=D205</t>
  </si>
  <si>
    <t>=D206</t>
  </si>
  <si>
    <t>="""BC Live Database"",""Gurrentz"",""50013"",""20"",""MIAM"",""1"",""MAIN"",""10"",""135"",""40"",""AU"""</t>
  </si>
  <si>
    <t>=D207</t>
  </si>
  <si>
    <t>="""BC Live Database"",""Gurrentz"",""50013"",""20"",""MIAM"",""1"",""MAIN"",""10"",""135"",""40"",""NZ"""</t>
  </si>
  <si>
    <t>=D208</t>
  </si>
  <si>
    <t>="""BC Live Database"",""Gurrentz"",""50013"",""20"",""MIAM"",""1"",""ASSA"",""10"",""55"",""40"",""NI"""</t>
  </si>
  <si>
    <t>=D209</t>
  </si>
  <si>
    <t>="""BC Live Database"",""Gurrentz"",""50013"",""20"",""MIAM"",""1"",""RIMA"",""10"",""131"",""40"",""NZ"""</t>
  </si>
  <si>
    <t>=D210</t>
  </si>
  <si>
    <t>="""BC Live Database"",""Gurrentz"",""50013"",""20"",""MIAM"",""1"",""MASY"",""10"",""136"",""40"",""NZ"""</t>
  </si>
  <si>
    <t>=D211</t>
  </si>
  <si>
    <t>="""BC Live Database"",""Gurrentz"",""50013"",""20"",""MIAM"",""1"",""DUEX"",""10"",""142"",""40"",""NZ"""</t>
  </si>
  <si>
    <t>=D212</t>
  </si>
  <si>
    <t>="""BC Live Database"",""Gurrentz"",""50013"",""20"",""MIAM"",""1"",""MAGA"",""10"",""141"",""40"",""NZ"""</t>
  </si>
  <si>
    <t>=D213</t>
  </si>
  <si>
    <t>="""BC Live Database"",""Gurrentz"",""50013"",""20"",""MIAM"",""1"",""ARMA"",""10"",""135"",""40"",""NZ"""</t>
  </si>
  <si>
    <t>=D214</t>
  </si>
  <si>
    <t>="""BC Live Database"",""Gurrentz"",""50013"",""20"",""MIAM"",""1"",""BFLE"",""10"",""022"",""40"",""NZ"""</t>
  </si>
  <si>
    <t>=D215</t>
  </si>
  <si>
    <t>="""BC Live Database"",""Gurrentz"",""50013"",""20"",""MIAM"",""1"",""SPHA"",""10"",""143"",""40"",""NZ"""</t>
  </si>
  <si>
    <t>=D216</t>
  </si>
  <si>
    <t>="""BC Live Database"",""Gurrentz"",""50013"",""20"",""MIAM"",""1"",""SABA"",""10"",""139"",""40"",""AU"""</t>
  </si>
  <si>
    <t>=D217</t>
  </si>
  <si>
    <t>="""BC Live Database"",""Gurrentz"",""50013"",""20"",""MIAM"",""1"",""SABA"",""10"",""139"",""40"",""NZ"""</t>
  </si>
  <si>
    <t>=D218</t>
  </si>
  <si>
    <t>="""BC Live Database"",""Gurrentz"",""50013"",""20"",""MIAM"",""1"",""MAGA"",""10"",""144"",""40"",""NZ"""</t>
  </si>
  <si>
    <t>=D219</t>
  </si>
  <si>
    <t>="""BC Live Database"",""Gurrentz"",""50013"",""20"",""MIAM"",""1"",""SPSH"",""10"",""137"",""40"",""AU"""</t>
  </si>
  <si>
    <t>=D220</t>
  </si>
  <si>
    <t>="""BC Live Database"",""Gurrentz"",""50013"",""20"",""MIAM"",""1"",""SPSH"",""10"",""137"",""40"",""NZ"""</t>
  </si>
  <si>
    <t>=D221</t>
  </si>
  <si>
    <t>="""BC Live Database"",""Gurrentz"",""50013"",""20"",""MIAM"",""1"",""RIBL"",""10"",""132"",""40"",""NZ"""</t>
  </si>
  <si>
    <t>=D222</t>
  </si>
  <si>
    <t>="""BC Live Database"",""Gurrentz"",""50013"",""20"",""MIAM"",""1"",""DUEX"",""10"",""145"",""40"",""NZ"""</t>
  </si>
  <si>
    <t>=D223</t>
  </si>
  <si>
    <t>="""BC Live Database"",""Gurrentz"",""50013"",""20"",""MIAM"",""1"",""MATA"",""10"",""137"",""40"",""NZ"""</t>
  </si>
  <si>
    <t>=D224</t>
  </si>
  <si>
    <t>="""BC Live Database"",""Gurrentz"",""50013"",""20"",""MIAM"",""1"",""MARU"",""10"",""1534"",""40"",""AU"""</t>
  </si>
  <si>
    <t>=D225</t>
  </si>
  <si>
    <t>="""BC Live Database"",""Gurrentz"",""50013"",""20"",""MIAM"",""1"",""MARU"",""10"",""1534"",""40"",""NZ"""</t>
  </si>
  <si>
    <t>=D226</t>
  </si>
  <si>
    <t>="""BC Live Database"",""Gurrentz"",""50013"",""20"",""MIAM"",""1"",""SPSY"",""10"",""140"",""40"",""AU"""</t>
  </si>
  <si>
    <t>=D227</t>
  </si>
  <si>
    <t>="""BC Live Database"",""Gurrentz"",""50013"",""20"",""MIAM"",""1"",""SPSY"",""10"",""140"",""40"",""NZ"""</t>
  </si>
  <si>
    <t>=D228</t>
  </si>
  <si>
    <t>=D229</t>
  </si>
  <si>
    <t>="""BC Live Database"",""Gurrentz"",""50013"",""20"",""MIAM"",""1"",""OLFM"",""10"",""141"",""40"",""AU"""</t>
  </si>
  <si>
    <t>=D230</t>
  </si>
  <si>
    <t>="""BC Live Database"",""Gurrentz"",""50013"",""20"",""MIAM"",""1"",""OLFM"",""10"",""141"",""40"",""NZ"""</t>
  </si>
  <si>
    <t>=D231</t>
  </si>
  <si>
    <t>="""BC Live Database"",""Gurrentz"",""50013"",""20"",""MIAM"",""1"",""OLGM"",""10"",""143"",""40"",""AU"""</t>
  </si>
  <si>
    <t>=D232</t>
  </si>
  <si>
    <t>="""BC Live Database"",""Gurrentz"",""50013"",""20"",""MIAM"",""1"",""OLGM"",""10"",""143"",""40"",""NZ"""</t>
  </si>
  <si>
    <t>=D233</t>
  </si>
  <si>
    <t>="""BC Live Database"",""Gurrentz"",""50013"",""20"",""MIAM"",""1"",""MABI"",""10"",""145"",""40"",""AU"""</t>
  </si>
  <si>
    <t>=D234</t>
  </si>
  <si>
    <t>="""BC Live Database"",""Gurrentz"",""50013"",""20"",""MIAM"",""1"",""MABI"",""10"",""145"",""40"",""NZ"""</t>
  </si>
  <si>
    <t>="Oakland, CA"</t>
  </si>
  <si>
    <t>=D237</t>
  </si>
  <si>
    <t>=D238</t>
  </si>
  <si>
    <t>="""BC Live Database"",""Gurrentz"",""50013"",""20"",""OAKL"",""1"",""NOGU"",""10"",""125"",""40"",""NZ"""</t>
  </si>
  <si>
    <t>=D239</t>
  </si>
  <si>
    <t>="""BC Live Database"",""Gurrentz"",""50013"",""20"",""OAKL"",""1"",""ANWA"",""10"",""131"",""40"",""AU"""</t>
  </si>
  <si>
    <t>=D240</t>
  </si>
  <si>
    <t>="""BC Live Database"",""Gurrentz"",""50013"",""20"",""OAKL"",""1"",""ANWA"",""10"",""131"",""40"",""NZ"""</t>
  </si>
  <si>
    <t>=D241</t>
  </si>
  <si>
    <t>="""BC Live Database"",""Gurrentz"",""50013"",""20"",""OAKL"",""1"",""LOEX"",""10"",""127"",""40"",""AU"""</t>
  </si>
  <si>
    <t>=D242</t>
  </si>
  <si>
    <t>="""BC Live Database"",""Gurrentz"",""50013"",""20"",""OAKL"",""1"",""LOEX"",""10"",""127"",""40"",""NZ"""</t>
  </si>
  <si>
    <t>=D243</t>
  </si>
  <si>
    <t>="""BC Live Database"",""Gurrentz"",""50013"",""20"",""OAKL"",""1"",""MATE"",""10"",""128"",""40"",""AU"""</t>
  </si>
  <si>
    <t>=D244</t>
  </si>
  <si>
    <t>="""BC Live Database"",""Gurrentz"",""50013"",""20"",""OAKL"",""1"",""MATE"",""10"",""128"",""40"",""NZ"""</t>
  </si>
  <si>
    <t>=D245</t>
  </si>
  <si>
    <t>="""BC Live Database"",""Gurrentz"",""50013"",""20"",""OAKL"",""1"",""NYLA"",""10"",""612"",""40"",""NI"""</t>
  </si>
  <si>
    <t>=D246</t>
  </si>
  <si>
    <t>="""BC Live Database"",""Gurrentz"",""50013"",""20"",""OAKL"",""1"",""MANO"",""10"",""001"",""40"",""NI"""</t>
  </si>
  <si>
    <t>=D247</t>
  </si>
  <si>
    <t>="""BC Live Database"",""Gurrentz"",""50013"",""20"",""OAKL"",""1"",""SYOK"",""10"",""136"",""40"",""AU"""</t>
  </si>
  <si>
    <t>=D248</t>
  </si>
  <si>
    <t>="""BC Live Database"",""Gurrentz"",""50013"",""20"",""OAKL"",""1"",""SYOK"",""10"",""136"",""40"",""NZ"""</t>
  </si>
  <si>
    <t>=D249</t>
  </si>
  <si>
    <t>="""BC Live Database"",""Gurrentz"",""50013"",""20"",""OAKL"",""1"",""CAJE"",""10"",""135"",""40"",""AU"""</t>
  </si>
  <si>
    <t>=D250</t>
  </si>
  <si>
    <t>="""BC Live Database"",""Gurrentz"",""50013"",""20"",""OAKL"",""1"",""CAJE"",""10"",""135"",""40"",""NZ"""</t>
  </si>
  <si>
    <t>=D251</t>
  </si>
  <si>
    <t>="""BC Live Database"",""Gurrentz"",""50013"",""20"",""OAKL"",""1"",""NOGU"",""10"",""139"",""40"",""AU"""</t>
  </si>
  <si>
    <t>=D252</t>
  </si>
  <si>
    <t>="""BC Live Database"",""Gurrentz"",""50013"",""20"",""OAKL"",""1"",""NOGU"",""10"",""139"",""40"",""NZ"""</t>
  </si>
  <si>
    <t>=D253</t>
  </si>
  <si>
    <t>="""BC Live Database"",""Gurrentz"",""50013"",""20"",""OAKL"",""1"",""ANWA"",""10"",""145"",""40"",""AU"""</t>
  </si>
  <si>
    <t>=D254</t>
  </si>
  <si>
    <t>="""BC Live Database"",""Gurrentz"",""50013"",""20"",""OAKL"",""1"",""ANWA"",""10"",""145"",""40"",""NZ"""</t>
  </si>
  <si>
    <t>=D255</t>
  </si>
  <si>
    <t>="""BC Live Database"",""Gurrentz"",""50013"",""20"",""OAKL"",""1"",""DEBU"",""10"",""138"",""40"",""AU"""</t>
  </si>
  <si>
    <t>=D256</t>
  </si>
  <si>
    <t>="""BC Live Database"",""Gurrentz"",""50013"",""20"",""OAKL"",""1"",""DEBU"",""10"",""138"",""40"",""NZ"""</t>
  </si>
  <si>
    <t>=D257</t>
  </si>
  <si>
    <t>="""BC Live Database"",""Gurrentz"",""50013"",""20"",""OAKL"",""1"",""LOEX"",""10"",""140"",""40"",""AU"""</t>
  </si>
  <si>
    <t>=D258</t>
  </si>
  <si>
    <t>="""BC Live Database"",""Gurrentz"",""50013"",""20"",""OAKL"",""1"",""LOEX"",""10"",""140"",""40"",""NZ"""</t>
  </si>
  <si>
    <t>=D259</t>
  </si>
  <si>
    <t>="""BC Live Database"",""Gurrentz"",""50013"",""20"",""OAKL"",""1"",""JPLI"",""10"",""136"",""40"",""AU"""</t>
  </si>
  <si>
    <t>=D260</t>
  </si>
  <si>
    <t>="""BC Live Database"",""Gurrentz"",""50013"",""20"",""OAKL"",""1"",""JPLI"",""10"",""136"",""40"",""NZ"""</t>
  </si>
  <si>
    <t>=D261</t>
  </si>
  <si>
    <t>="""BC Live Database"",""Gurrentz"",""50013"",""20"",""OAKL"",""1"",""CAJE"",""10"",""147"",""40"",""AU"""</t>
  </si>
  <si>
    <t>=D262</t>
  </si>
  <si>
    <t>="""BC Live Database"",""Gurrentz"",""50013"",""20"",""OAKL"",""1"",""CAJE"",""10"",""147"",""40"",""NZ"""</t>
  </si>
  <si>
    <t>=D263</t>
  </si>
  <si>
    <t>="""BC Live Database"",""Gurrentz"",""50013"",""20"",""OAKL"",""1"",""MATE"",""10"",""146"",""40"",""AU"""</t>
  </si>
  <si>
    <t>=D264</t>
  </si>
  <si>
    <t>="""BC Live Database"",""Gurrentz"",""50013"",""20"",""OAKL"",""1"",""MATE"",""10"",""146"",""40"",""NZ"""</t>
  </si>
  <si>
    <t>="Philadelphia, PA"</t>
  </si>
  <si>
    <t>=D267</t>
  </si>
  <si>
    <t>=D268</t>
  </si>
  <si>
    <t>="""BC Live Database"",""Gurrentz"",""50013"",""20"",""PHIL"",""1"",""SPSI"",""10"",""123"",""40"",""AU"""</t>
  </si>
  <si>
    <t>=D269</t>
  </si>
  <si>
    <t>="""BC Live Database"",""Gurrentz"",""50013"",""20"",""PHIL"",""1"",""ASPT"",""10"",""037"",""40"",""NI"""</t>
  </si>
  <si>
    <t>=D270</t>
  </si>
  <si>
    <t>="""BC Live Database"",""Gurrentz"",""50013"",""20"",""PHIL"",""1"",""MAIN"",""10"",""135"",""40"",""AU"""</t>
  </si>
  <si>
    <t>=D271</t>
  </si>
  <si>
    <t>="""BC Live Database"",""Gurrentz"",""50013"",""20"",""PHIL"",""1"",""MAIN"",""10"",""135"",""40"",""BR"""</t>
  </si>
  <si>
    <t>="""BC Live Database"",""Gurrentz"",""50013"",""20"",""PHIL"",""1"",""MAIN"",""10"",""135"",""40"",""NZ"""</t>
  </si>
  <si>
    <t>="""BC Live Database"",""Gurrentz"",""50013"",""20"",""PHIL"",""1"",""NOMG"",""10"",""138"",""40"",""BR"""</t>
  </si>
  <si>
    <t>=D274</t>
  </si>
  <si>
    <t>="""BC Live Database"",""Gurrentz"",""50013"",""20"",""PHIL"",""1"",""OLIM"",""10"",""136"",""40"",""AU"""</t>
  </si>
  <si>
    <t>=D275</t>
  </si>
  <si>
    <t>="""BC Live Database"",""Gurrentz"",""50013"",""20"",""PHIL"",""1"",""OLIM"",""10"",""136"",""40"",""BR"""</t>
  </si>
  <si>
    <t>=D276</t>
  </si>
  <si>
    <t>="""BC Live Database"",""Gurrentz"",""50013"",""20"",""PHIL"",""1"",""OLIM"",""10"",""136"",""40"",""NZ"""</t>
  </si>
  <si>
    <t>=D277</t>
  </si>
  <si>
    <t>="""BC Live Database"",""Gurrentz"",""50013"",""20"",""PHIL"",""1"",""LOJA"",""10"",""091"",""40"",""AR"""</t>
  </si>
  <si>
    <t>=D278</t>
  </si>
  <si>
    <t>="""BC Live Database"",""Gurrentz"",""50013"",""20"",""PHIL"",""1"",""NOPA"",""10"",""1534"",""40"",""NZ"""</t>
  </si>
  <si>
    <t>=D279</t>
  </si>
  <si>
    <t>="""BC Live Database"",""Gurrentz"",""50013"",""20"",""PHIL"",""1"",""CASA"",""10"",""138"",""40"",""UY"""</t>
  </si>
  <si>
    <t>=D280</t>
  </si>
  <si>
    <t>="""BC Live Database"",""Gurrentz"",""50013"",""20"",""PHIL"",""1"",""MAKA"",""10"",""139"",""40"",""BR"""</t>
  </si>
  <si>
    <t>=D281</t>
  </si>
  <si>
    <t>="""BC Live Database"",""Gurrentz"",""50013"",""20"",""PHIL"",""1"",""GRFO"",""10"",""044"",""40"",""NI"""</t>
  </si>
  <si>
    <t>=D282</t>
  </si>
  <si>
    <t>="""BC Live Database"",""Gurrentz"",""50013"",""20"",""PHIL"",""1"",""SPSH"",""10"",""137"",""40"",""AU"""</t>
  </si>
  <si>
    <t>=D283</t>
  </si>
  <si>
    <t>="""BC Live Database"",""Gurrentz"",""50013"",""20"",""PHIL"",""1"",""SPSH"",""10"",""137"",""40"",""NZ"""</t>
  </si>
  <si>
    <t>=D284</t>
  </si>
  <si>
    <t>="""BC Live Database"",""Gurrentz"",""50013"",""20"",""PHIL"",""1"",""SAAL"",""10"",""143"",""40"",""NI"""</t>
  </si>
  <si>
    <t>=D285</t>
  </si>
  <si>
    <t>="""BC Live Database"",""Gurrentz"",""50013"",""20"",""PHIL"",""1"",""MAIP"",""10"",""140"",""40"",""AR"""</t>
  </si>
  <si>
    <t>=D286</t>
  </si>
  <si>
    <t>="""BC Live Database"",""Gurrentz"",""50013"",""20"",""PHIL"",""1"",""SABA"",""10"",""139"",""40"",""AU"""</t>
  </si>
  <si>
    <t>=D287</t>
  </si>
  <si>
    <t>="""BC Live Database"",""Gurrentz"",""50013"",""20"",""PHIL"",""1"",""SABA"",""10"",""139"",""40"",""NZ"""</t>
  </si>
  <si>
    <t>=D288</t>
  </si>
  <si>
    <t>="""BC Live Database"",""Gurrentz"",""50013"",""20"",""PHIL"",""1"",""SABA"",""10"",""139"",""40"",""UY"""</t>
  </si>
  <si>
    <t>=D289</t>
  </si>
  <si>
    <t>="""BC Live Database"",""Gurrentz"",""50013"",""20"",""PHIL"",""1"",""POSK"",""10"",""141"",""40"",""BR"""</t>
  </si>
  <si>
    <t>=D290</t>
  </si>
  <si>
    <t>="""BC Live Database"",""Gurrentz"",""50013"",""20"",""PHIL"",""1"",""MSME"",""10"",""143"",""40"",""AR"""</t>
  </si>
  <si>
    <t>=D291</t>
  </si>
  <si>
    <t>="""BC Live Database"",""Gurrentz"",""50013"",""20"",""PHIL"",""1"",""MEMP"",""10"",""141"",""40"",""BR"""</t>
  </si>
  <si>
    <t>=D292</t>
  </si>
  <si>
    <t>="""BC Live Database"",""Gurrentz"",""50013"",""20"",""PHIL"",""1"",""MARI"",""10"",""1533"",""40"",""AU"""</t>
  </si>
  <si>
    <t>=D293</t>
  </si>
  <si>
    <t>="""BC Live Database"",""Gurrentz"",""50013"",""20"",""PHIL"",""1"",""MARI"",""10"",""1533"",""40"",""NZ"""</t>
  </si>
  <si>
    <t>=D294</t>
  </si>
  <si>
    <t>="""BC Live Database"",""Gurrentz"",""50013"",""20"",""PHIL"",""1"",""MSTO"",""10"",""135"",""40"",""AU"""</t>
  </si>
  <si>
    <t>=D295</t>
  </si>
  <si>
    <t>="""BC Live Database"",""Gurrentz"",""50013"",""20"",""PHIL"",""1"",""MSAN"",""10"",""142"",""40"",""AU"""</t>
  </si>
  <si>
    <t>="""BC Live Database"",""Gurrentz"",""50013"",""20"",""PHIL"",""1"",""PAUL"",""10"",""018"",""40"",""NI"""</t>
  </si>
  <si>
    <t>="""BC Live Database"",""Gurrentz"",""50013"",""20"",""PHIL"",""1"",""SPSY"",""10"",""140"",""40"",""AU"""</t>
  </si>
  <si>
    <t>=D298</t>
  </si>
  <si>
    <t>="""BC Live Database"",""Gurrentz"",""50013"",""20"",""PHIL"",""1"",""SPSY"",""10"",""140"",""40"",""BR"""</t>
  </si>
  <si>
    <t>=D299</t>
  </si>
  <si>
    <t>="""BC Live Database"",""Gurrentz"",""50013"",""20"",""PHIL"",""1"",""SPSY"",""10"",""140"",""40"",""NZ"""</t>
  </si>
  <si>
    <t>=D300</t>
  </si>
  <si>
    <t>="""BC Live Database"",""Gurrentz"",""50013"",""20"",""PHIL"",""1"",""GALA"",""10"",""145"",""40"",""NI"""</t>
  </si>
  <si>
    <t>=D301</t>
  </si>
  <si>
    <t>="""BC Live Database"",""Gurrentz"",""50013"",""20"",""PHIL"",""1"",""MEHU"",""10"",""143"",""40"",""BR"""</t>
  </si>
  <si>
    <t>=D302</t>
  </si>
  <si>
    <t>="""BC Live Database"",""Gurrentz"",""50013"",""20"",""PHIL"",""1"",""MARU"",""10"",""1534"",""40"",""AU"""</t>
  </si>
  <si>
    <t>="""BC Live Database"",""Gurrentz"",""50013"",""20"",""PHIL"",""1"",""MARU"",""10"",""1534"",""40"",""NZ"""</t>
  </si>
  <si>
    <t>="""BC Live Database"",""Gurrentz"",""50013"",""20"",""PHIL"",""1"",""OLFM"",""10"",""141"",""40"",""AU"""</t>
  </si>
  <si>
    <t>=D305</t>
  </si>
  <si>
    <t>="""BC Live Database"",""Gurrentz"",""50013"",""20"",""PHIL"",""1"",""OLFM"",""10"",""141"",""40"",""NZ"""</t>
  </si>
  <si>
    <t>=D306</t>
  </si>
  <si>
    <t>="""BC Live Database"",""Gurrentz"",""50013"",""20"",""PHIL"",""1"",""NYDI"",""10"",""136"",""40"",""BR"""</t>
  </si>
  <si>
    <t>=D307</t>
  </si>
  <si>
    <t>="""BC Live Database"",""Gurrentz"",""50013"",""20"",""PHIL"",""1"",""TEMP"",""10"",""2139"",""40"",""BR"""</t>
  </si>
  <si>
    <t>=D308</t>
  </si>
  <si>
    <t>="""BC Live Database"",""Gurrentz"",""50013"",""20"",""PHIL"",""1"",""ASPT"",""10"",""039"",""40"",""NI"""</t>
  </si>
  <si>
    <t>=D309</t>
  </si>
  <si>
    <t>="""BC Live Database"",""Gurrentz"",""50013"",""20"",""PHIL"",""1"",""GRFO"",""10"",""46"",""40"",""NI"""</t>
  </si>
  <si>
    <t>=D310</t>
  </si>
  <si>
    <t>="""BC Live Database"",""Gurrentz"",""50013"",""20"",""PHIL"",""1"",""HASA"",""10"",""146"",""40"",""NZ"""</t>
  </si>
  <si>
    <t>=D311</t>
  </si>
  <si>
    <t>="""BC Live Database"",""Gurrentz"",""50013"",""20"",""PHIL"",""1"",""AGDI"",""10"",""142"",""40"",""UY"""</t>
  </si>
  <si>
    <t>=D312</t>
  </si>
  <si>
    <t>="""BC Live Database"",""Gurrentz"",""50013"",""20"",""PHIL"",""1"",""SPAU"",""10"",""142"",""40"",""AU"""</t>
  </si>
  <si>
    <t>=D313</t>
  </si>
  <si>
    <t>="""BC Live Database"",""Gurrentz"",""50013"",""20"",""PHIL"",""1"",""SPAU"",""10"",""142"",""40"",""BR"""</t>
  </si>
  <si>
    <t>=D314</t>
  </si>
  <si>
    <t>="""BC Live Database"",""Gurrentz"",""50013"",""20"",""PHIL"",""1"",""SPAU"",""10"",""142"",""40"",""NZ"""</t>
  </si>
  <si>
    <t>=D315</t>
  </si>
  <si>
    <t>="""BC Live Database"",""Gurrentz"",""50013"",""20"",""PHIL"",""1"",""ASPU"",""10"",""019"",""40"",""NI"""</t>
  </si>
  <si>
    <t>=D316</t>
  </si>
  <si>
    <t>="""BC Live Database"",""Gurrentz"",""50013"",""20"",""PHIL"",""1"",""MSOL"",""10"",""146"",""40"",""UY"""</t>
  </si>
  <si>
    <t>=D317</t>
  </si>
  <si>
    <t>="""BC Live Database"",""Gurrentz"",""50013"",""20"",""PHIL"",""1"",""PAUL"",""10"",""019"",""40"",""NI"""</t>
  </si>
  <si>
    <t>=D318</t>
  </si>
  <si>
    <t>="""BC Live Database"",""Gurrentz"",""50013"",""20"",""PHIL"",""1"",""SAAL"",""10"",""147"",""40"",""NI"""</t>
  </si>
  <si>
    <t>=D319</t>
  </si>
  <si>
    <t>="""BC Live Database"",""Gurrentz"",""50013"",""20"",""PHIL"",""1"",""OLGM"",""10"",""143"",""40"",""AU"""</t>
  </si>
  <si>
    <t>=D320</t>
  </si>
  <si>
    <t>="""BC Live Database"",""Gurrentz"",""50013"",""20"",""PHIL"",""1"",""OLGM"",""10"",""143"",""40"",""BR"""</t>
  </si>
  <si>
    <t>=D321</t>
  </si>
  <si>
    <t>="""BC Live Database"",""Gurrentz"",""50013"",""20"",""PHIL"",""1"",""OLGM"",""10"",""143"",""40"",""NZ"""</t>
  </si>
  <si>
    <t>=D322</t>
  </si>
  <si>
    <t>="""BC Live Database"",""Gurrentz"",""50013"",""20"",""PHIL"",""1"",""ALSA"",""10"",""2021"",""40"",""IR"""</t>
  </si>
  <si>
    <t>=D323</t>
  </si>
  <si>
    <t>="""BC Live Database"",""Gurrentz"",""50013"",""20"",""PHIL"",""1"",""MSVI"",""10"",""147"",""40"",""BR"""</t>
  </si>
  <si>
    <t>=D324</t>
  </si>
  <si>
    <t>="""BC Live Database"",""Gurrentz"",""50013"",""20"",""PHIL"",""1"",""NOMG"",""10"",""145"",""40"",""AR"""</t>
  </si>
  <si>
    <t>=D325</t>
  </si>
  <si>
    <t>="""BC Live Database"",""Gurrentz"",""50013"",""20"",""PHIL"",""1"",""NOMG"",""10"",""145"",""40"",""BR"""</t>
  </si>
  <si>
    <t>="""BC Live Database"",""Gurrentz"",""50013"",""20"",""PHIL"",""1"",""NOMJ"",""10"",""144"",""40"",""BR"""</t>
  </si>
  <si>
    <t>="""BC Live Database"",""Gurrentz"",""50013"",""20"",""PHIL"",""1"",""MAJE"",""10"",""1535"",""40"",""AU"""</t>
  </si>
  <si>
    <t>=D328</t>
  </si>
  <si>
    <t>="""BC Live Database"",""Gurrentz"",""50013"",""20"",""PHIL"",""1"",""MAJE"",""10"",""1535"",""40"",""NZ"""</t>
  </si>
  <si>
    <t>=D329</t>
  </si>
  <si>
    <t>="""BC Live Database"",""Gurrentz"",""50013"",""20"",""PHIL"",""1"",""GRFO"",""10"",""47"",""40"",""NI"""</t>
  </si>
  <si>
    <t>=D330</t>
  </si>
  <si>
    <t>="""BC Live Database"",""Gurrentz"",""50013"",""20"",""PHIL"",""1"",""SPME"",""10"",""144"",""40"",""AU"""</t>
  </si>
  <si>
    <t>=D331</t>
  </si>
  <si>
    <t>="""BC Live Database"",""Gurrentz"",""50013"",""20"",""PHIL"",""1"",""SPME"",""10"",""144"",""40"",""BR"""</t>
  </si>
  <si>
    <t>=D332</t>
  </si>
  <si>
    <t>="""BC Live Database"",""Gurrentz"",""50013"",""20"",""PHIL"",""1"",""SPME"",""10"",""144"",""40"",""NZ"""</t>
  </si>
  <si>
    <t>="""BC Live Database"",""Gurrentz"",""50013"",""20"",""PHIL"",""1"",""MAKA"",""10"",""146"",""40"",""BR"""</t>
  </si>
  <si>
    <t>="""BC Live Database"",""Gurrentz"",""50013"",""20"",""PHIL"",""1"",""MSME"",""10"",""148"",""40"",""BR"""</t>
  </si>
  <si>
    <t>=D335</t>
  </si>
  <si>
    <t>="""BC Live Database"",""Gurrentz"",""50013"",""20"",""PHIL"",""1"",""MSME"",""10"",""148"",""40"",""UY"""</t>
  </si>
  <si>
    <t>=D336</t>
  </si>
  <si>
    <t>="""BC Live Database"",""Gurrentz"",""50013"",""20"",""PHIL"",""1"",""POSK"",""10"",""144"",""40"",""UY"""</t>
  </si>
  <si>
    <t>=D337</t>
  </si>
  <si>
    <t>="""BC Live Database"",""Gurrentz"",""50013"",""20"",""PHIL"",""1"",""ASPT"",""10"",""040"",""40"",""NI"""</t>
  </si>
  <si>
    <t>=D338</t>
  </si>
  <si>
    <t>="""BC Live Database"",""Gurrentz"",""50013"",""20"",""PHIL"",""1"",""GALA"",""10"",""149"",""40"",""NI"""</t>
  </si>
  <si>
    <t>=D339</t>
  </si>
  <si>
    <t>="""BC Live Database"",""Gurrentz"",""50013"",""20"",""PHIL"",""1"",""GRST"",""10"",""48"",""40"",""NI"""</t>
  </si>
  <si>
    <t>=D340</t>
  </si>
  <si>
    <t>="""BC Live Database"",""Gurrentz"",""50013"",""20"",""PHIL"",""1"",""MABI"",""10"",""145"",""40"",""AU"""</t>
  </si>
  <si>
    <t>=D341</t>
  </si>
  <si>
    <t>="""BC Live Database"",""Gurrentz"",""50013"",""20"",""PHIL"",""1"",""MABI"",""10"",""145"",""40"",""NZ"""</t>
  </si>
  <si>
    <t>=D342</t>
  </si>
  <si>
    <t>="""BC Live Database"",""Gurrentz"",""50013"",""20"",""PHIL"",""1"",""ROBIN"",""10"",""0004"",""40"",""BR"""</t>
  </si>
  <si>
    <t>=D343</t>
  </si>
  <si>
    <t>="""BC Live Database"",""Gurrentz"",""50013"",""20"",""PHIL"",""1"",""MAIP"",""10"",""147"",""40"",""BR"""</t>
  </si>
  <si>
    <t>=D344</t>
  </si>
  <si>
    <t>="""BC Live Database"",""Gurrentz"",""50013"",""20"",""PHIL"",""1"",""PEDR"",""10"",""147"",""40"",""BR"""</t>
  </si>
  <si>
    <t>=D345</t>
  </si>
  <si>
    <t>="""BC Live Database"",""Gurrentz"",""50013"",""20"",""PHIL"",""1"",""HASA"",""10"",""150"",""40"",""NI"""</t>
  </si>
  <si>
    <t>=D346</t>
  </si>
  <si>
    <t>="""BC Live Database"",""Gurrentz"",""50013"",""20"",""PHIL"",""1"",""BOGO"",""10"",""146"",""40"",""AU"""</t>
  </si>
  <si>
    <t>=D347</t>
  </si>
  <si>
    <t>="""BC Live Database"",""Gurrentz"",""50013"",""20"",""PHIL"",""1"",""BOGO"",""10"",""146"",""40"",""NZ"""</t>
  </si>
  <si>
    <t>=D348</t>
  </si>
  <si>
    <t>="""BC Live Database"",""Gurrentz"",""50013"",""20"",""PHIL"",""1"",""MAND"",""10"",""1536"",""40"",""AU"""</t>
  </si>
  <si>
    <t>=D349</t>
  </si>
  <si>
    <t>="""BC Live Database"",""Gurrentz"",""50013"",""20"",""PHIL"",""1"",""MAND"",""10"",""1536"",""40"",""NZ"""</t>
  </si>
  <si>
    <t>=D350</t>
  </si>
  <si>
    <t>="""BC Live Database"",""Gurrentz"",""50013"",""20"",""PHIL"",""1"",""MSWE"",""10"",""150"",""40"",""BR"""</t>
  </si>
  <si>
    <t>=D351</t>
  </si>
  <si>
    <t>="""BC Live Database"",""Gurrentz"",""50013"",""20"",""PHIL"",""1"",""MOAZ"",""10"",""148"",""40"",""BR"""</t>
  </si>
  <si>
    <t>=D352</t>
  </si>
  <si>
    <t>="""BC Live Database"",""Gurrentz"",""50013"",""20"",""PHIL"",""1"",""SPSI"",""10"",""146"",""40"",""AU"""</t>
  </si>
  <si>
    <t>=D353</t>
  </si>
  <si>
    <t>="""BC Live Database"",""Gurrentz"",""50013"",""20"",""PHIL"",""1"",""SPSI"",""10"",""146"",""40"",""NZ"""</t>
  </si>
  <si>
    <t>=D354</t>
  </si>
  <si>
    <t>="""BC Live Database"",""Gurrentz"",""50013"",""20"",""PHIL"",""1"",""VERA"",""10"",""149"",""40"",""BR"""</t>
  </si>
  <si>
    <t>=D355</t>
  </si>
  <si>
    <t>=D356</t>
  </si>
  <si>
    <t>=D357</t>
  </si>
  <si>
    <t>="""BC Live Database"",""Gurrentz"",""50013"",""20"",""PHIL"",""1"",""MOTA"",""10"",""148"",""40"",""BR"""</t>
  </si>
  <si>
    <t>=D358</t>
  </si>
  <si>
    <t>="""BC Live Database"",""Gurrentz"",""50013"",""20"",""PHIL"",""1"",""MAGN"",""10"",""149"",""40"",""BR"""</t>
  </si>
  <si>
    <t>=D359</t>
  </si>
  <si>
    <t>="""BC Live Database"",""Gurrentz"",""50013"",""20"",""PHIL"",""1"",""MAIN"",""10"",""147"",""40"",""AU"""</t>
  </si>
  <si>
    <t>=D360</t>
  </si>
  <si>
    <t>="""BC Live Database"",""Gurrentz"",""50013"",""20"",""PHIL"",""1"",""MAIN"",""10"",""147"",""40"",""NZ"""</t>
  </si>
  <si>
    <t>=D361</t>
  </si>
  <si>
    <t>="""BC Live Database"",""Gurrentz"",""50013"",""20"",""PHIL"",""1"",""TIRUA"",""10"",""145"",""40"",""BR"""</t>
  </si>
  <si>
    <t>=D362</t>
  </si>
  <si>
    <t>="""BC Live Database"",""Gurrentz"",""50013"",""20"",""PHIL"",""1"",""DUEX"",""10"",""150"",""40"",""BR"""</t>
  </si>
  <si>
    <t>=D363</t>
  </si>
  <si>
    <t>="""BC Live Database"",""Gurrentz"",""50013"",""20"",""PHIL"",""1"",""OLIM"",""10"",""148"",""40"",""AU"""</t>
  </si>
  <si>
    <t>=D364</t>
  </si>
  <si>
    <t>="""BC Live Database"",""Gurrentz"",""50013"",""20"",""PHIL"",""1"",""OLIM"",""10"",""148"",""40"",""NZ"""</t>
  </si>
  <si>
    <t>=D365</t>
  </si>
  <si>
    <t>="""BC Live Database"",""Gurrentz"",""50013"",""20"",""PHIL"",""1"",""BOSP"",""10"",""148"",""40"",""AR"""</t>
  </si>
  <si>
    <t>=D366</t>
  </si>
  <si>
    <t>="""BC Live Database"",""Gurrentz"",""50013"",""20"",""PHIL"",""1"",""CMAD"",""10"",""1538"",""40"",""AU"""</t>
  </si>
  <si>
    <t>=D367</t>
  </si>
  <si>
    <t>="""BC Live Database"",""Gurrentz"",""50013"",""20"",""PHIL"",""1"",""CMAD"",""10"",""1538"",""40"",""NZ"""</t>
  </si>
  <si>
    <t>=D368</t>
  </si>
  <si>
    <t>="""BC Live Database"",""Gurrentz"",""50013"",""20"",""PHIL"",""1"",""SPSH"",""10"",""149"",""40"",""AU"""</t>
  </si>
  <si>
    <t>=D369</t>
  </si>
  <si>
    <t>="""BC Live Database"",""Gurrentz"",""50013"",""20"",""PHIL"",""1"",""SPSH"",""10"",""149"",""40"",""NZ"""</t>
  </si>
  <si>
    <t>=D370</t>
  </si>
  <si>
    <t>="""BC Live Database"",""Gurrentz"",""50013"",""20"",""PHIL"",""1"",""SABA"",""10"",""150"",""40"",""AU"""</t>
  </si>
  <si>
    <t>=D371</t>
  </si>
  <si>
    <t>="""BC Live Database"",""Gurrentz"",""50013"",""20"",""PHIL"",""1"",""SABA"",""10"",""150"",""40"",""NZ"""</t>
  </si>
  <si>
    <t>=D372</t>
  </si>
  <si>
    <t>="""BC Live Database"",""Gurrentz"",""50013"",""20"",""PHIL"",""1"",""SPSY"",""10"",""151"",""40"",""AU"""</t>
  </si>
  <si>
    <t>=D373</t>
  </si>
  <si>
    <t>="""BC Live Database"",""Gurrentz"",""50013"",""20"",""PHIL"",""1"",""SPSY"",""10"",""151"",""40"",""NZ"""</t>
  </si>
  <si>
    <t>=D374</t>
  </si>
  <si>
    <t>="""BC Live Database"",""Gurrentz"",""50013"",""20"",""PHIL"",""1"",""NOPA"",""10"",""1546"",""40"",""AU"""</t>
  </si>
  <si>
    <t>=D375</t>
  </si>
  <si>
    <t>="""BC Live Database"",""Gurrentz"",""50013"",""20"",""PHIL"",""1"",""NOPA"",""10"",""1546"",""40"",""NZ"""</t>
  </si>
  <si>
    <t>=D376</t>
  </si>
  <si>
    <t>="""BC Live Database"",""Gurrentz"",""50013"",""20"",""PHIL"",""1"",""OLFM"",""10"",""152"",""40"",""AU"""</t>
  </si>
  <si>
    <t>=D377</t>
  </si>
  <si>
    <t>="""BC Live Database"",""Gurrentz"",""50013"",""20"",""PHIL"",""1"",""OLFM"",""10"",""152"",""40"",""NZ"""</t>
  </si>
  <si>
    <t>=D378</t>
  </si>
  <si>
    <t>="""BC Live Database"",""Gurrentz"",""50013"",""20"",""PHIL"",""1"",""SPAU"",""10"",""201"",""40"",""AU"""</t>
  </si>
  <si>
    <t>=D379</t>
  </si>
  <si>
    <t>="""BC Live Database"",""Gurrentz"",""50013"",""20"",""PHIL"",""1"",""SPAU"",""10"",""201"",""40"",""NZ"""</t>
  </si>
  <si>
    <t>=D380</t>
  </si>
  <si>
    <t>="""BC Live Database"",""Gurrentz"",""50013"",""20"",""PHIL"",""1"",""MARI"",""10"",""1548"",""40"",""AU"""</t>
  </si>
  <si>
    <t>=D381</t>
  </si>
  <si>
    <t>="""BC Live Database"",""Gurrentz"",""50013"",""20"",""PHIL"",""1"",""MARI"",""10"",""1548"",""40"",""NZ"""</t>
  </si>
  <si>
    <t>=D382</t>
  </si>
  <si>
    <t>="""BC Live Database"",""Gurrentz"",""50013"",""20"",""PHIL"",""1"",""OLGM"",""10"",""202"",""40"",""AU"""</t>
  </si>
  <si>
    <t>=D383</t>
  </si>
  <si>
    <t>="""BC Live Database"",""Gurrentz"",""50013"",""20"",""PHIL"",""1"",""OLGM"",""10"",""202"",""40"",""NZ"""</t>
  </si>
  <si>
    <t>=D384</t>
  </si>
  <si>
    <t>="""BC Live Database"",""Gurrentz"",""50013"",""20"",""PHIL"",""1"",""SPME"",""10"",""203"",""40"",""AU"""</t>
  </si>
  <si>
    <t>=D385</t>
  </si>
  <si>
    <t>="""BC Live Database"",""Gurrentz"",""50013"",""20"",""PHIL"",""1"",""SPME"",""10"",""203"",""40"",""NZ"""</t>
  </si>
  <si>
    <t>=D386</t>
  </si>
  <si>
    <t>="""BC Live Database"",""Gurrentz"",""50013"",""20"",""PHIL"",""1"",""MARU"",""10"",""1550"",""40"",""AU"""</t>
  </si>
  <si>
    <t>=D387</t>
  </si>
  <si>
    <t>="""BC Live Database"",""Gurrentz"",""50013"",""20"",""PHIL"",""1"",""MARU"",""10"",""1550"",""40"",""NZ"""</t>
  </si>
  <si>
    <t>=D388</t>
  </si>
  <si>
    <t>="""BC Live Database"",""Gurrentz"",""50013"",""20"",""PHIL"",""1"",""MABI"",""10"",""204"",""40"",""AU"""</t>
  </si>
  <si>
    <t>=D389</t>
  </si>
  <si>
    <t>="""BC Live Database"",""Gurrentz"",""50013"",""20"",""PHIL"",""1"",""MABI"",""10"",""204"",""40"",""NZ"""</t>
  </si>
  <si>
    <t>=D390</t>
  </si>
  <si>
    <t>="""BC Live Database"",""Gurrentz"",""50013"",""20"",""PHIL"",""1"",""BOGO"",""10"",""205"",""40"",""AU"""</t>
  </si>
  <si>
    <t>=D391</t>
  </si>
  <si>
    <t>="""BC Live Database"",""Gurrentz"",""50013"",""20"",""PHIL"",""1"",""BOGO"",""10"",""205"",""40"",""NZ"""</t>
  </si>
  <si>
    <t>=D392</t>
  </si>
  <si>
    <t>="""BC Live Database"",""Gurrentz"",""50013"",""20"",""PHIL"",""1"",""MAJE"",""10"",""1552"",""40"",""AU"""</t>
  </si>
  <si>
    <t>=D393</t>
  </si>
  <si>
    <t>="""BC Live Database"",""Gurrentz"",""50013"",""20"",""PHIL"",""1"",""MAJE"",""10"",""1552"",""40"",""NZ"""</t>
  </si>
  <si>
    <t>=D394</t>
  </si>
  <si>
    <t>="""BC Live Database"",""Gurrentz"",""50013"",""20"",""PHIL"",""1"",""MAIN"",""10"",""206"",""40"",""AU"""</t>
  </si>
  <si>
    <t>=D395</t>
  </si>
  <si>
    <t>="""BC Live Database"",""Gurrentz"",""50013"",""20"",""PHIL"",""1"",""MAIN"",""10"",""206"",""40"",""NZ"""</t>
  </si>
  <si>
    <t>=D396</t>
  </si>
  <si>
    <t>="""BC Live Database"",""Gurrentz"",""50013"",""20"",""PHIL"",""1"",""MAND"",""10"",""1554"",""40"",""AU"""</t>
  </si>
  <si>
    <t>=D397</t>
  </si>
  <si>
    <t>="""BC Live Database"",""Gurrentz"",""50013"",""20"",""PHIL"",""1"",""MAND"",""10"",""1554"",""40"",""NZ"""</t>
  </si>
  <si>
    <t>="Savannah, GA"</t>
  </si>
  <si>
    <t>=D400</t>
  </si>
  <si>
    <t>=D401</t>
  </si>
  <si>
    <t>=D402</t>
  </si>
  <si>
    <t>="""BC Live Database"",""Gurrentz"",""50013"",""20"",""SAVA"",""1"",""GALE"",""10"",""142"",""40"",""NI"""</t>
  </si>
  <si>
    <t>=D403</t>
  </si>
  <si>
    <t>="""BC Live Database"",""Gurrentz"",""50013"",""20"",""SAVA"",""1"",""MARI"",""10"",""1533"",""40"",""AU"""</t>
  </si>
  <si>
    <t>=D404</t>
  </si>
  <si>
    <t>="""BC Live Database"",""Gurrentz"",""50013"",""20"",""SAVA"",""1"",""MARI"",""10"",""1533"",""40"",""NZ"""</t>
  </si>
  <si>
    <t>=D405</t>
  </si>
  <si>
    <t>="""BC Live Database"",""Gurrentz"",""50013"",""20"",""SAVA"",""1"",""ASPA"",""10"",""030"",""40"",""NI"""</t>
  </si>
  <si>
    <t>=D406</t>
  </si>
  <si>
    <t>="""BC Live Database"",""Gurrentz"",""50013"",""20"",""SAVA"",""1"",""ASSA"",""10"",""057"",""40"",""NI"""</t>
  </si>
  <si>
    <t>=D407</t>
  </si>
  <si>
    <t>="""BC Live Database"",""Gurrentz"",""50013"",""20"",""SAVA"",""1"",""MARU"",""10"",""1534"",""40"",""AU"""</t>
  </si>
  <si>
    <t>=D408</t>
  </si>
  <si>
    <t>="""BC Live Database"",""Gurrentz"",""50013"",""20"",""SAVA"",""1"",""MARU"",""10"",""1534"",""40"",""NZ"""</t>
  </si>
  <si>
    <t>=D409</t>
  </si>
  <si>
    <t>="""BC Live Database"",""Gurrentz"",""50013"",""20"",""SAVA"",""1"",""ASAV"",""10"",""050"",""40"",""NI"""</t>
  </si>
  <si>
    <t>=D410</t>
  </si>
  <si>
    <t>="""BC Live Database"",""Gurrentz"",""50013"",""20"",""SAVA"",""1"",""MAJE"",""10"",""1535"",""40"",""AU"""</t>
  </si>
  <si>
    <t>=D411</t>
  </si>
  <si>
    <t>="""BC Live Database"",""Gurrentz"",""50013"",""20"",""SAVA"",""1"",""MAJE"",""10"",""1535"",""40"",""NZ"""</t>
  </si>
  <si>
    <t>=D412</t>
  </si>
  <si>
    <t>="""BC Live Database"",""Gurrentz"",""50013"",""20"",""SAVA"",""1"",""ASAV"",""10"",""051"",""40"",""NI"""</t>
  </si>
  <si>
    <t>=D413</t>
  </si>
  <si>
    <t>="""BC Live Database"",""Gurrentz"",""50013"",""20"",""SAVA"",""1"",""SANA"",""10"",""148"",""40"",""NI"""</t>
  </si>
  <si>
    <t>=D414</t>
  </si>
  <si>
    <t>="""BC Live Database"",""Gurrentz"",""50013"",""20"",""SAVA"",""1"",""MAND"",""10"",""1536"",""40"",""AU"""</t>
  </si>
  <si>
    <t>=D415</t>
  </si>
  <si>
    <t>="""BC Live Database"",""Gurrentz"",""50013"",""20"",""SAVA"",""1"",""MAND"",""10"",""1536"",""40"",""NZ"""</t>
  </si>
  <si>
    <t>=D416</t>
  </si>
  <si>
    <t>="""BC Live Database"",""Gurrentz"",""50013"",""20"",""SAVA"",""1"",""NORD"",""10"",""1537"",""40"",""AU"""</t>
  </si>
  <si>
    <t>=D417</t>
  </si>
  <si>
    <t>="""BC Live Database"",""Gurrentz"",""50013"",""20"",""SAVA"",""1"",""NORD"",""10"",""1537"",""40"",""NZ"""</t>
  </si>
  <si>
    <t>=D418</t>
  </si>
  <si>
    <t>="""BC Live Database"",""Gurrentz"",""50013"",""20"",""SAVA"",""1"",""ASAV"",""10"",""053"",""40"",""NI"""</t>
  </si>
  <si>
    <t>=D419</t>
  </si>
  <si>
    <t>="""BC Live Database"",""Gurrentz"",""50013"",""20"",""SAVA"",""1"",""CMAD"",""10"",""1538"",""40"",""AU"""</t>
  </si>
  <si>
    <t>=D420</t>
  </si>
  <si>
    <t>="""BC Live Database"",""Gurrentz"",""50013"",""20"",""SAVA"",""1"",""CMAD"",""10"",""1538"",""40"",""NZ"""</t>
  </si>
  <si>
    <t>=D421</t>
  </si>
  <si>
    <t>="""BC Live Database"",""Gurrentz"",""50013"",""20"",""SAVA"",""1"",""NOPA"",""10"",""1546"",""40"",""AU"""</t>
  </si>
  <si>
    <t>=D422</t>
  </si>
  <si>
    <t>="""BC Live Database"",""Gurrentz"",""50013"",""20"",""SAVA"",""1"",""NOPA"",""10"",""1546"",""40"",""NZ"""</t>
  </si>
  <si>
    <t>=D423</t>
  </si>
  <si>
    <t>="""BC Live Database"",""Gurrentz"",""50013"",""20"",""SAVA"",""1"",""MARI"",""10"",""1548"",""40"",""AU"""</t>
  </si>
  <si>
    <t>=D424</t>
  </si>
  <si>
    <t>="""BC Live Database"",""Gurrentz"",""50013"",""20"",""SAVA"",""1"",""MARI"",""10"",""1548"",""40"",""NZ"""</t>
  </si>
  <si>
    <t>=D425</t>
  </si>
  <si>
    <t>="""BC Live Database"",""Gurrentz"",""50013"",""20"",""SAVA"",""1"",""MARU"",""10"",""1550"",""40"",""AU"""</t>
  </si>
  <si>
    <t>=D426</t>
  </si>
  <si>
    <t>="""BC Live Database"",""Gurrentz"",""50013"",""20"",""SAVA"",""1"",""MARU"",""10"",""1550"",""40"",""NZ"""</t>
  </si>
  <si>
    <t>=D427</t>
  </si>
  <si>
    <t>="""BC Live Database"",""Gurrentz"",""50013"",""20"",""SAVA"",""1"",""MAJE"",""10"",""1552"",""40"",""AU"""</t>
  </si>
  <si>
    <t>=D428</t>
  </si>
  <si>
    <t>="""BC Live Database"",""Gurrentz"",""50013"",""20"",""SAVA"",""1"",""MAJE"",""10"",""1552"",""40"",""NZ"""</t>
  </si>
  <si>
    <t>=D429</t>
  </si>
  <si>
    <t>="""BC Live Database"",""Gurrentz"",""50013"",""20"",""SAVA"",""1"",""MAND"",""10"",""1554"",""40"",""AU"""</t>
  </si>
  <si>
    <t>=D430</t>
  </si>
  <si>
    <t>="""BC Live Database"",""Gurrentz"",""50013"",""20"",""SAVA"",""1"",""MAND"",""10"",""1554"",""40"",""NZ"""</t>
  </si>
  <si>
    <t>="Seattle, WA"</t>
  </si>
  <si>
    <t>=D433</t>
  </si>
  <si>
    <t>=D434</t>
  </si>
  <si>
    <t>="""BC Live Database"",""Gurrentz"",""50013"",""20"",""SEAT"",""1"",""DEBU"",""10"",""126"",""40"",""NZ"""</t>
  </si>
  <si>
    <t>=D435</t>
  </si>
  <si>
    <t>="""BC Live Database"",""Gurrentz"",""50013"",""20"",""SEAT"",""1"",""MSMO"",""10"",""133"",""40"",""BR"""</t>
  </si>
  <si>
    <t>=D436</t>
  </si>
  <si>
    <t>="""BC Live Database"",""Gurrentz"",""50013"",""20"",""SEAT"",""1"",""LOEX"",""10"",""127"",""40"",""AU"""</t>
  </si>
  <si>
    <t>=D437</t>
  </si>
  <si>
    <t>="""BC Live Database"",""Gurrentz"",""50013"",""20"",""SEAT"",""1"",""LOEX"",""10"",""127"",""40"",""NZ"""</t>
  </si>
  <si>
    <t>=D438</t>
  </si>
  <si>
    <t>="""BC Live Database"",""Gurrentz"",""50013"",""20"",""SEAT"",""1"",""MATE"",""10"",""128"",""40"",""AU"""</t>
  </si>
  <si>
    <t>=D439</t>
  </si>
  <si>
    <t>="""BC Live Database"",""Gurrentz"",""50013"",""20"",""SEAT"",""1"",""MATE"",""10"",""128"",""40"",""NZ"""</t>
  </si>
  <si>
    <t>=D440</t>
  </si>
  <si>
    <t>="""BC Live Database"",""Gurrentz"",""50013"",""20"",""SEAT"",""1"",""COCO"",""10"",""134"",""40"",""AU"""</t>
  </si>
  <si>
    <t>=D441</t>
  </si>
  <si>
    <t>="""BC Live Database"",""Gurrentz"",""50013"",""20"",""SEAT"",""1"",""COCO"",""10"",""134"",""40"",""NZ"""</t>
  </si>
  <si>
    <t>=D442</t>
  </si>
  <si>
    <t>="""BC Live Database"",""Gurrentz"",""50013"",""20"",""SEAT"",""1"",""SYKE"",""10"",""137"",""40"",""AU"""</t>
  </si>
  <si>
    <t>=D443</t>
  </si>
  <si>
    <t>="""BC Live Database"",""Gurrentz"",""50013"",""20"",""SEAT"",""1"",""SYKE"",""10"",""137"",""40"",""NZ"""</t>
  </si>
  <si>
    <t>=D444</t>
  </si>
  <si>
    <t>="""BC Live Database"",""Gurrentz"",""50013"",""20"",""SEAT"",""1"",""RIDE"",""10"",""137"",""40"",""NZ"""</t>
  </si>
  <si>
    <t>=D445</t>
  </si>
  <si>
    <t>="""BC Live Database"",""Gurrentz"",""50013"",""20"",""SEAT"",""1"",""MASI"",""10"",""139"",""40"",""NZ"""</t>
  </si>
  <si>
    <t>=D446</t>
  </si>
  <si>
    <t>="""BC Live Database"",""Gurrentz"",""50013"",""20"",""SEAT"",""1"",""DUTC"",""10"",""152"",""40"",""AU"""</t>
  </si>
  <si>
    <t>=D447</t>
  </si>
  <si>
    <t>="""BC Live Database"",""Gurrentz"",""50013"",""20"",""SEAT"",""1"",""DUTC"",""10"",""152"",""40"",""NZ"""</t>
  </si>
  <si>
    <t>=D448</t>
  </si>
  <si>
    <t>="""BC Live Database"",""Gurrentz"",""50013"",""20"",""SEAT"",""1"",""LOEX"",""10"",""201"",""40"",""AU"""</t>
  </si>
  <si>
    <t>=D449</t>
  </si>
  <si>
    <t>="""BC Live Database"",""Gurrentz"",""50013"",""20"",""SEAT"",""1"",""LOEX"",""10"",""201"",""40"",""NZ"""</t>
  </si>
  <si>
    <t>=D450</t>
  </si>
  <si>
    <t>="""BC Live Database"",""Gurrentz"",""50013"",""20"",""SEAT"",""1"",""MATE"",""10"",""203"",""40"",""AU"""</t>
  </si>
  <si>
    <t>=D451</t>
  </si>
  <si>
    <t>="""BC Live Database"",""Gurrentz"",""50013"",""20"",""SEAT"",""1"",""MATE"",""10"",""203"",""40"",""NZ"""</t>
  </si>
  <si>
    <t>=NF($F7,"Arrival Date")</t>
  </si>
  <si>
    <t>=NF($F8,"Arrival Date")</t>
  </si>
  <si>
    <t>=NF($F9,"Arrival Date")</t>
  </si>
  <si>
    <t>=NF($F10,"Arrival Date")</t>
  </si>
  <si>
    <t>=NF($F11,"Arrival Date")</t>
  </si>
  <si>
    <t>=NF($F12,"Arrival Date")</t>
  </si>
  <si>
    <t>=NF($F13,"Arrival Date")</t>
  </si>
  <si>
    <t>=NF($F14,"Arrival Date")</t>
  </si>
  <si>
    <t>=NF($F15,"Arrival Date")</t>
  </si>
  <si>
    <t>=NF($F16,"Arrival Date")</t>
  </si>
  <si>
    <t>=NF($F17,"Arrival Date")</t>
  </si>
  <si>
    <t>=NF($F18,"Arrival Date")</t>
  </si>
  <si>
    <t>=NF($F19,"Arrival Date")</t>
  </si>
  <si>
    <t>=NF($F20,"Arrival Date")</t>
  </si>
  <si>
    <t>=NF($F21,"Arrival Date")</t>
  </si>
  <si>
    <t>=NF($F22,"Arrival Date")</t>
  </si>
  <si>
    <t>=NF($F23,"Arrival Date")</t>
  </si>
  <si>
    <t>=NF($F24,"Arrival Date")</t>
  </si>
  <si>
    <t>=NF($F25,"Arrival Date")</t>
  </si>
  <si>
    <t>=NF($F26,"Arrival Date")</t>
  </si>
  <si>
    <t>=NF($F27,"Arrival Date")</t>
  </si>
  <si>
    <t>=NF($F28,"Arrival Date")</t>
  </si>
  <si>
    <t>=NF($F29,"Arrival Date")</t>
  </si>
  <si>
    <t>=NF($F30,"Arrival Date")</t>
  </si>
  <si>
    <t>=NF($F31,"Arrival Date")</t>
  </si>
  <si>
    <t>=NF($F32,"Arrival Date")</t>
  </si>
  <si>
    <t>=NF($F33,"Arrival Date")</t>
  </si>
  <si>
    <t>=NF($F34,"Arrival Date")</t>
  </si>
  <si>
    <t>=NF($F35,"Arrival Date")</t>
  </si>
  <si>
    <t>=NF($F36,"Arrival Date")</t>
  </si>
  <si>
    <t>=NF($F37,"Arrival Date")</t>
  </si>
  <si>
    <t>=NF($F38,"Arrival Date")</t>
  </si>
  <si>
    <t>=NF($F39,"Arrival Date")</t>
  </si>
  <si>
    <t>=NF($F40,"Arrival Date")</t>
  </si>
  <si>
    <t>=NF($F41,"Arrival Date")</t>
  </si>
  <si>
    <t>=NF($F42,"Arrival Date")</t>
  </si>
  <si>
    <t>=NF($F43,"Arrival Date")</t>
  </si>
  <si>
    <t>=NF($F44,"Arrival Date")</t>
  </si>
  <si>
    <t>=NF($F45,"Arrival Date")</t>
  </si>
  <si>
    <t>=NF($F46,"Arrival Date")</t>
  </si>
  <si>
    <t>=NF($F47,"Arrival Date")</t>
  </si>
  <si>
    <t>=NF($F48,"Arrival Date")</t>
  </si>
  <si>
    <t>=NF($F49,"Arrival Date")</t>
  </si>
  <si>
    <t>=NF($F50,"Arrival Date")</t>
  </si>
  <si>
    <t>=NF($F7,"Vessel Name")</t>
  </si>
  <si>
    <t>=NF($F8,"Vessel Name")</t>
  </si>
  <si>
    <t>=NF($F9,"Vessel Name")</t>
  </si>
  <si>
    <t>=NF($F10,"Vessel Name")</t>
  </si>
  <si>
    <t>=NF($F11,"Vessel Name")</t>
  </si>
  <si>
    <t>=NF($F12,"Vessel Name")</t>
  </si>
  <si>
    <t>=NF($F13,"Vessel Name")</t>
  </si>
  <si>
    <t>=NF($F14,"Vessel Name")</t>
  </si>
  <si>
    <t>=NF($F15,"Vessel Name")</t>
  </si>
  <si>
    <t>=NF($F16,"Vessel Name")</t>
  </si>
  <si>
    <t>=NF($F17,"Vessel Name")</t>
  </si>
  <si>
    <t>=NF($F18,"Vessel Name")</t>
  </si>
  <si>
    <t>=NF($F19,"Vessel Name")</t>
  </si>
  <si>
    <t>=NF($F20,"Vessel Name")</t>
  </si>
  <si>
    <t>=NF($F21,"Vessel Name")</t>
  </si>
  <si>
    <t>=NF($F22,"Vessel Name")</t>
  </si>
  <si>
    <t>=NF($F23,"Vessel Name")</t>
  </si>
  <si>
    <t>=NF($F24,"Vessel Name")</t>
  </si>
  <si>
    <t>=NF($F25,"Vessel Name")</t>
  </si>
  <si>
    <t>=NF($F26,"Vessel Name")</t>
  </si>
  <si>
    <t>=NF($F27,"Vessel Name")</t>
  </si>
  <si>
    <t>=NF($F28,"Vessel Name")</t>
  </si>
  <si>
    <t>=NF($F29,"Vessel Name")</t>
  </si>
  <si>
    <t>=NF($F30,"Vessel Name")</t>
  </si>
  <si>
    <t>=NF($F31,"Vessel Name")</t>
  </si>
  <si>
    <t>=NF($F32,"Vessel Name")</t>
  </si>
  <si>
    <t>=NF($F33,"Vessel Name")</t>
  </si>
  <si>
    <t>=NF($F34,"Vessel Name")</t>
  </si>
  <si>
    <t>=NF($F35,"Vessel Name")</t>
  </si>
  <si>
    <t>=NF($F36,"Vessel Name")</t>
  </si>
  <si>
    <t>=NF($F37,"Vessel Name")</t>
  </si>
  <si>
    <t>=NF($F38,"Vessel Name")</t>
  </si>
  <si>
    <t>=NF($F39,"Vessel Name")</t>
  </si>
  <si>
    <t>=NF($F40,"Vessel Name")</t>
  </si>
  <si>
    <t>=NF($F41,"Vessel Name")</t>
  </si>
  <si>
    <t>=NF($F42,"Vessel Name")</t>
  </si>
  <si>
    <t>=NF($F43,"Vessel Name")</t>
  </si>
  <si>
    <t>=NF($F44,"Vessel Name")</t>
  </si>
  <si>
    <t>=NF($F45,"Vessel Name")</t>
  </si>
  <si>
    <t>=NF($F46,"Vessel Name")</t>
  </si>
  <si>
    <t>=NF($F47,"Vessel Name")</t>
  </si>
  <si>
    <t>=NF($F48,"Vessel Name")</t>
  </si>
  <si>
    <t>=NF($F49,"Vessel Name")</t>
  </si>
  <si>
    <t>=NF($F50,"Vessel Name")</t>
  </si>
  <si>
    <t>=NF($F7,"Voyage No.")</t>
  </si>
  <si>
    <t>=NF($F8,"Voyage No.")</t>
  </si>
  <si>
    <t>=NF($F9,"Voyage No.")</t>
  </si>
  <si>
    <t>=NF($F10,"Voyage No.")</t>
  </si>
  <si>
    <t>=NF($F11,"Voyage No.")</t>
  </si>
  <si>
    <t>=NF($F12,"Voyage No.")</t>
  </si>
  <si>
    <t>=NF($F13,"Voyage No.")</t>
  </si>
  <si>
    <t>=NF($F14,"Voyage No.")</t>
  </si>
  <si>
    <t>=NF($F15,"Voyage No.")</t>
  </si>
  <si>
    <t>=NF($F16,"Voyage No.")</t>
  </si>
  <si>
    <t>=NF($F17,"Voyage No.")</t>
  </si>
  <si>
    <t>=NF($F18,"Voyage No.")</t>
  </si>
  <si>
    <t>=NF($F19,"Voyage No.")</t>
  </si>
  <si>
    <t>=NF($F20,"Voyage No.")</t>
  </si>
  <si>
    <t>=NF($F21,"Voyage No.")</t>
  </si>
  <si>
    <t>=NF($F22,"Voyage No.")</t>
  </si>
  <si>
    <t>=NF($F23,"Voyage No.")</t>
  </si>
  <si>
    <t>=NF($F24,"Voyage No.")</t>
  </si>
  <si>
    <t>=NF($F25,"Voyage No.")</t>
  </si>
  <si>
    <t>=NF($F26,"Voyage No.")</t>
  </si>
  <si>
    <t>=NF($F27,"Voyage No.")</t>
  </si>
  <si>
    <t>=NF($F28,"Voyage No.")</t>
  </si>
  <si>
    <t>=NF($F29,"Voyage No.")</t>
  </si>
  <si>
    <t>=NF($F30,"Voyage No.")</t>
  </si>
  <si>
    <t>=NF($F31,"Voyage No.")</t>
  </si>
  <si>
    <t>=NF($F32,"Voyage No.")</t>
  </si>
  <si>
    <t>=NF($F33,"Voyage No.")</t>
  </si>
  <si>
    <t>=NF($F34,"Voyage No.")</t>
  </si>
  <si>
    <t>=NF($F35,"Voyage No.")</t>
  </si>
  <si>
    <t>=NF($F36,"Voyage No.")</t>
  </si>
  <si>
    <t>=NF($F37,"Voyage No.")</t>
  </si>
  <si>
    <t>=NF($F38,"Voyage No.")</t>
  </si>
  <si>
    <t>=NF($F39,"Voyage No.")</t>
  </si>
  <si>
    <t>=NF($F40,"Voyage No.")</t>
  </si>
  <si>
    <t>=NF($F41,"Voyage No.")</t>
  </si>
  <si>
    <t>=NF($F42,"Voyage No.")</t>
  </si>
  <si>
    <t>=NF($F43,"Voyage No.")</t>
  </si>
  <si>
    <t>=NF($F44,"Voyage No.")</t>
  </si>
  <si>
    <t>=NF($F45,"Voyage No.")</t>
  </si>
  <si>
    <t>=NF($F46,"Voyage No.")</t>
  </si>
  <si>
    <t>=NF($F47,"Voyage No.")</t>
  </si>
  <si>
    <t>=NF($F48,"Voyage No.")</t>
  </si>
  <si>
    <t>=NF($F49,"Voyage No.")</t>
  </si>
  <si>
    <t>=NF($F50,"Voyage No.")</t>
  </si>
  <si>
    <t>=NF($F434,"Arrival Date")</t>
  </si>
  <si>
    <t>=NF($F435,"Arrival Date")</t>
  </si>
  <si>
    <t>=NF($F436,"Arrival Date")</t>
  </si>
  <si>
    <t>=NF($F437,"Arrival Date")</t>
  </si>
  <si>
    <t>=NF($F438,"Arrival Date")</t>
  </si>
  <si>
    <t>=NF($F439,"Arrival Date")</t>
  </si>
  <si>
    <t>=NF($F440,"Arrival Date")</t>
  </si>
  <si>
    <t>=NF($F441,"Arrival Date")</t>
  </si>
  <si>
    <t>=NF($F442,"Arrival Date")</t>
  </si>
  <si>
    <t>=NF($F443,"Arrival Date")</t>
  </si>
  <si>
    <t>=NF($F444,"Arrival Date")</t>
  </si>
  <si>
    <t>=NF($F445,"Arrival Date")</t>
  </si>
  <si>
    <t>=NF($F446,"Arrival Date")</t>
  </si>
  <si>
    <t>=NF($F447,"Arrival Date")</t>
  </si>
  <si>
    <t>=NF($F448,"Arrival Date")</t>
  </si>
  <si>
    <t>=NF($F449,"Arrival Date")</t>
  </si>
  <si>
    <t>=NF($F450,"Arrival Date")</t>
  </si>
  <si>
    <t>=NF($F451,"Arrival Date")</t>
  </si>
  <si>
    <t>=NF($F452,"Arrival Date")</t>
  </si>
  <si>
    <t>=NF($F434,"Vessel Name")</t>
  </si>
  <si>
    <t>=NF($F435,"Vessel Name")</t>
  </si>
  <si>
    <t>=NF($F436,"Vessel Name")</t>
  </si>
  <si>
    <t>=NF($F437,"Vessel Name")</t>
  </si>
  <si>
    <t>=NF($F438,"Vessel Name")</t>
  </si>
  <si>
    <t>=NF($F439,"Vessel Name")</t>
  </si>
  <si>
    <t>=NF($F440,"Vessel Name")</t>
  </si>
  <si>
    <t>=NF($F441,"Vessel Name")</t>
  </si>
  <si>
    <t>=NF($F442,"Vessel Name")</t>
  </si>
  <si>
    <t>=NF($F443,"Vessel Name")</t>
  </si>
  <si>
    <t>=NF($F444,"Vessel Name")</t>
  </si>
  <si>
    <t>=NF($F445,"Vessel Name")</t>
  </si>
  <si>
    <t>=NF($F446,"Vessel Name")</t>
  </si>
  <si>
    <t>=NF($F447,"Vessel Name")</t>
  </si>
  <si>
    <t>=NF($F448,"Vessel Name")</t>
  </si>
  <si>
    <t>=NF($F449,"Vessel Name")</t>
  </si>
  <si>
    <t>=NF($F450,"Vessel Name")</t>
  </si>
  <si>
    <t>=NF($F451,"Vessel Name")</t>
  </si>
  <si>
    <t>=NF($F452,"Vessel Name")</t>
  </si>
  <si>
    <t>=NF($F434,"Voyage No.")</t>
  </si>
  <si>
    <t>=NF($F435,"Voyage No.")</t>
  </si>
  <si>
    <t>=NF($F436,"Voyage No.")</t>
  </si>
  <si>
    <t>=NF($F437,"Voyage No.")</t>
  </si>
  <si>
    <t>=NF($F438,"Voyage No.")</t>
  </si>
  <si>
    <t>=NF($F439,"Voyage No.")</t>
  </si>
  <si>
    <t>=NF($F440,"Voyage No.")</t>
  </si>
  <si>
    <t>=NF($F441,"Voyage No.")</t>
  </si>
  <si>
    <t>=NF($F442,"Voyage No.")</t>
  </si>
  <si>
    <t>=NF($F443,"Voyage No.")</t>
  </si>
  <si>
    <t>=NF($F444,"Voyage No.")</t>
  </si>
  <si>
    <t>=NF($F445,"Voyage No.")</t>
  </si>
  <si>
    <t>=NF($F446,"Voyage No.")</t>
  </si>
  <si>
    <t>=NF($F447,"Voyage No.")</t>
  </si>
  <si>
    <t>=NF($F448,"Voyage No.")</t>
  </si>
  <si>
    <t>=NF($F449,"Voyage No.")</t>
  </si>
  <si>
    <t>=NF($F450,"Voyage No.")</t>
  </si>
  <si>
    <t>=NF($F451,"Voyage No.")</t>
  </si>
  <si>
    <t>=NF($F452,"Voyage No.")</t>
  </si>
  <si>
    <t>=NF($F401,"Arrival Date")</t>
  </si>
  <si>
    <t>=NF($F402,"Arrival Date")</t>
  </si>
  <si>
    <t>=NF($F403,"Arrival Date")</t>
  </si>
  <si>
    <t>=NF($F404,"Arrival Date")</t>
  </si>
  <si>
    <t>=NF($F405,"Arrival Date")</t>
  </si>
  <si>
    <t>=NF($F406,"Arrival Date")</t>
  </si>
  <si>
    <t>=NF($F407,"Arrival Date")</t>
  </si>
  <si>
    <t>=NF($F408,"Arrival Date")</t>
  </si>
  <si>
    <t>=NF($F409,"Arrival Date")</t>
  </si>
  <si>
    <t>=NF($F410,"Arrival Date")</t>
  </si>
  <si>
    <t>=NF($F411,"Arrival Date")</t>
  </si>
  <si>
    <t>=NF($F412,"Arrival Date")</t>
  </si>
  <si>
    <t>=NF($F413,"Arrival Date")</t>
  </si>
  <si>
    <t>=NF($F414,"Arrival Date")</t>
  </si>
  <si>
    <t>=NF($F415,"Arrival Date")</t>
  </si>
  <si>
    <t>=NF($F416,"Arrival Date")</t>
  </si>
  <si>
    <t>=NF($F417,"Arrival Date")</t>
  </si>
  <si>
    <t>=NF($F418,"Arrival Date")</t>
  </si>
  <si>
    <t>=NF($F419,"Arrival Date")</t>
  </si>
  <si>
    <t>=NF($F420,"Arrival Date")</t>
  </si>
  <si>
    <t>=NF($F421,"Arrival Date")</t>
  </si>
  <si>
    <t>=NF($F422,"Arrival Date")</t>
  </si>
  <si>
    <t>=NF($F423,"Arrival Date")</t>
  </si>
  <si>
    <t>=NF($F424,"Arrival Date")</t>
  </si>
  <si>
    <t>=NF($F425,"Arrival Date")</t>
  </si>
  <si>
    <t>=NF($F426,"Arrival Date")</t>
  </si>
  <si>
    <t>=NF($F427,"Arrival Date")</t>
  </si>
  <si>
    <t>=NF($F428,"Arrival Date")</t>
  </si>
  <si>
    <t>=NF($F429,"Arrival Date")</t>
  </si>
  <si>
    <t>=NF($F430,"Arrival Date")</t>
  </si>
  <si>
    <t>=NF($F431,"Arrival Date")</t>
  </si>
  <si>
    <t>=NF($F401,"Vessel Name")</t>
  </si>
  <si>
    <t>=NF($F402,"Vessel Name")</t>
  </si>
  <si>
    <t>=NF($F403,"Vessel Name")</t>
  </si>
  <si>
    <t>=NF($F404,"Vessel Name")</t>
  </si>
  <si>
    <t>=NF($F405,"Vessel Name")</t>
  </si>
  <si>
    <t>=NF($F406,"Vessel Name")</t>
  </si>
  <si>
    <t>=NF($F407,"Vessel Name")</t>
  </si>
  <si>
    <t>=NF($F408,"Vessel Name")</t>
  </si>
  <si>
    <t>=NF($F409,"Vessel Name")</t>
  </si>
  <si>
    <t>=NF($F410,"Vessel Name")</t>
  </si>
  <si>
    <t>=NF($F411,"Vessel Name")</t>
  </si>
  <si>
    <t>=NF($F412,"Vessel Name")</t>
  </si>
  <si>
    <t>=NF($F413,"Vessel Name")</t>
  </si>
  <si>
    <t>=NF($F414,"Vessel Name")</t>
  </si>
  <si>
    <t>=NF($F415,"Vessel Name")</t>
  </si>
  <si>
    <t>=NF($F416,"Vessel Name")</t>
  </si>
  <si>
    <t>=NF($F417,"Vessel Name")</t>
  </si>
  <si>
    <t>=NF($F418,"Vessel Name")</t>
  </si>
  <si>
    <t>=NF($F419,"Vessel Name")</t>
  </si>
  <si>
    <t>=NF($F420,"Vessel Name")</t>
  </si>
  <si>
    <t>=NF($F421,"Vessel Name")</t>
  </si>
  <si>
    <t>=NF($F422,"Vessel Name")</t>
  </si>
  <si>
    <t>=NF($F423,"Vessel Name")</t>
  </si>
  <si>
    <t>=NF($F424,"Vessel Name")</t>
  </si>
  <si>
    <t>=NF($F425,"Vessel Name")</t>
  </si>
  <si>
    <t>=NF($F426,"Vessel Name")</t>
  </si>
  <si>
    <t>=NF($F427,"Vessel Name")</t>
  </si>
  <si>
    <t>=NF($F428,"Vessel Name")</t>
  </si>
  <si>
    <t>=NF($F429,"Vessel Name")</t>
  </si>
  <si>
    <t>=NF($F430,"Vessel Name")</t>
  </si>
  <si>
    <t>=NF($F431,"Vessel Name")</t>
  </si>
  <si>
    <t>=NF($F401,"Voyage No.")</t>
  </si>
  <si>
    <t>=NF($F402,"Voyage No.")</t>
  </si>
  <si>
    <t>=NF($F403,"Voyage No.")</t>
  </si>
  <si>
    <t>=NF($F404,"Voyage No.")</t>
  </si>
  <si>
    <t>=NF($F405,"Voyage No.")</t>
  </si>
  <si>
    <t>=NF($F406,"Voyage No.")</t>
  </si>
  <si>
    <t>=NF($F407,"Voyage No.")</t>
  </si>
  <si>
    <t>=NF($F408,"Voyage No.")</t>
  </si>
  <si>
    <t>=NF($F409,"Voyage No.")</t>
  </si>
  <si>
    <t>=NF($F410,"Voyage No.")</t>
  </si>
  <si>
    <t>=NF($F411,"Voyage No.")</t>
  </si>
  <si>
    <t>=NF($F412,"Voyage No.")</t>
  </si>
  <si>
    <t>=NF($F413,"Voyage No.")</t>
  </si>
  <si>
    <t>=NF($F414,"Voyage No.")</t>
  </si>
  <si>
    <t>=NF($F415,"Voyage No.")</t>
  </si>
  <si>
    <t>=NF($F416,"Voyage No.")</t>
  </si>
  <si>
    <t>=NF($F417,"Voyage No.")</t>
  </si>
  <si>
    <t>=NF($F418,"Voyage No.")</t>
  </si>
  <si>
    <t>=NF($F419,"Voyage No.")</t>
  </si>
  <si>
    <t>=NF($F420,"Voyage No.")</t>
  </si>
  <si>
    <t>=NF($F421,"Voyage No.")</t>
  </si>
  <si>
    <t>=NF($F422,"Voyage No.")</t>
  </si>
  <si>
    <t>=NF($F423,"Voyage No.")</t>
  </si>
  <si>
    <t>=NF($F424,"Voyage No.")</t>
  </si>
  <si>
    <t>=NF($F425,"Voyage No.")</t>
  </si>
  <si>
    <t>=NF($F426,"Voyage No.")</t>
  </si>
  <si>
    <t>=NF($F427,"Voyage No.")</t>
  </si>
  <si>
    <t>=NF($F428,"Voyage No.")</t>
  </si>
  <si>
    <t>=NF($F429,"Voyage No.")</t>
  </si>
  <si>
    <t>=NF($F430,"Voyage No.")</t>
  </si>
  <si>
    <t>=NF($F431,"Voyage No.")</t>
  </si>
  <si>
    <t>=NF($F268,"Arrival Date")</t>
  </si>
  <si>
    <t>=NF($F269,"Arrival Date")</t>
  </si>
  <si>
    <t>=NF($F270,"Arrival Date")</t>
  </si>
  <si>
    <t>=NF($F271,"Arrival Date")</t>
  </si>
  <si>
    <t>=NF($F272,"Arrival Date")</t>
  </si>
  <si>
    <t>=NF($F275,"Arrival Date")</t>
  </si>
  <si>
    <t>=NF($F276,"Arrival Date")</t>
  </si>
  <si>
    <t>=NF($F277,"Arrival Date")</t>
  </si>
  <si>
    <t>=NF($F278,"Arrival Date")</t>
  </si>
  <si>
    <t>=NF($F279,"Arrival Date")</t>
  </si>
  <si>
    <t>=NF($F280,"Arrival Date")</t>
  </si>
  <si>
    <t>=NF($F281,"Arrival Date")</t>
  </si>
  <si>
    <t>=NF($F282,"Arrival Date")</t>
  </si>
  <si>
    <t>=NF($F283,"Arrival Date")</t>
  </si>
  <si>
    <t>=NF($F284,"Arrival Date")</t>
  </si>
  <si>
    <t>=NF($F285,"Arrival Date")</t>
  </si>
  <si>
    <t>=NF($F286,"Arrival Date")</t>
  </si>
  <si>
    <t>=NF($F287,"Arrival Date")</t>
  </si>
  <si>
    <t>=NF($F288,"Arrival Date")</t>
  </si>
  <si>
    <t>=NF($F289,"Arrival Date")</t>
  </si>
  <si>
    <t>=NF($F290,"Arrival Date")</t>
  </si>
  <si>
    <t>=NF($F291,"Arrival Date")</t>
  </si>
  <si>
    <t>=NF($F292,"Arrival Date")</t>
  </si>
  <si>
    <t>=NF($F293,"Arrival Date")</t>
  </si>
  <si>
    <t>=NF($F294,"Arrival Date")</t>
  </si>
  <si>
    <t>=NF($F295,"Arrival Date")</t>
  </si>
  <si>
    <t>=NF($F296,"Arrival Date")</t>
  </si>
  <si>
    <t>=NF($F299,"Arrival Date")</t>
  </si>
  <si>
    <t>=NF($F300,"Arrival Date")</t>
  </si>
  <si>
    <t>=NF($F301,"Arrival Date")</t>
  </si>
  <si>
    <t>=NF($F302,"Arrival Date")</t>
  </si>
  <si>
    <t>=NF($F303,"Arrival Date")</t>
  </si>
  <si>
    <t>=NF($F306,"Arrival Date")</t>
  </si>
  <si>
    <t>=NF($F307,"Arrival Date")</t>
  </si>
  <si>
    <t>=NF($F308,"Arrival Date")</t>
  </si>
  <si>
    <t>=NF($F309,"Arrival Date")</t>
  </si>
  <si>
    <t>=NF($F310,"Arrival Date")</t>
  </si>
  <si>
    <t>=NF($F311,"Arrival Date")</t>
  </si>
  <si>
    <t>=NF($F312,"Arrival Date")</t>
  </si>
  <si>
    <t>=NF($F313,"Arrival Date")</t>
  </si>
  <si>
    <t>=NF($F314,"Arrival Date")</t>
  </si>
  <si>
    <t>=NF($F315,"Arrival Date")</t>
  </si>
  <si>
    <t>=NF($F316,"Arrival Date")</t>
  </si>
  <si>
    <t>=NF($F317,"Arrival Date")</t>
  </si>
  <si>
    <t>=NF($F318,"Arrival Date")</t>
  </si>
  <si>
    <t>=NF($F319,"Arrival Date")</t>
  </si>
  <si>
    <t>=NF($F320,"Arrival Date")</t>
  </si>
  <si>
    <t>=NF($F321,"Arrival Date")</t>
  </si>
  <si>
    <t>=NF($F322,"Arrival Date")</t>
  </si>
  <si>
    <t>=NF($F323,"Arrival Date")</t>
  </si>
  <si>
    <t>=NF($F324,"Arrival Date")</t>
  </si>
  <si>
    <t>=NF($F325,"Arrival Date")</t>
  </si>
  <si>
    <t>=NF($F326,"Arrival Date")</t>
  </si>
  <si>
    <t>=NF($F329,"Arrival Date")</t>
  </si>
  <si>
    <t>=NF($F330,"Arrival Date")</t>
  </si>
  <si>
    <t>=NF($F331,"Arrival Date")</t>
  </si>
  <si>
    <t>=NF($F332,"Arrival Date")</t>
  </si>
  <si>
    <t>=NF($F333,"Arrival Date")</t>
  </si>
  <si>
    <t>=NF($F336,"Arrival Date")</t>
  </si>
  <si>
    <t>=NF($F337,"Arrival Date")</t>
  </si>
  <si>
    <t>=NF($F338,"Arrival Date")</t>
  </si>
  <si>
    <t>=NF($F339,"Arrival Date")</t>
  </si>
  <si>
    <t>=NF($F340,"Arrival Date")</t>
  </si>
  <si>
    <t>=NF($F341,"Arrival Date")</t>
  </si>
  <si>
    <t>=NF($F342,"Arrival Date")</t>
  </si>
  <si>
    <t>=NF($F343,"Arrival Date")</t>
  </si>
  <si>
    <t>=NF($F344,"Arrival Date")</t>
  </si>
  <si>
    <t>=NF($F345,"Arrival Date")</t>
  </si>
  <si>
    <t>=NF($F346,"Arrival Date")</t>
  </si>
  <si>
    <t>=NF($F347,"Arrival Date")</t>
  </si>
  <si>
    <t>=NF($F348,"Arrival Date")</t>
  </si>
  <si>
    <t>=NF($F349,"Arrival Date")</t>
  </si>
  <si>
    <t>=NF($F350,"Arrival Date")</t>
  </si>
  <si>
    <t>=NF($F351,"Arrival Date")</t>
  </si>
  <si>
    <t>=NF($F352,"Arrival Date")</t>
  </si>
  <si>
    <t>=NF($F353,"Arrival Date")</t>
  </si>
  <si>
    <t>=NF($F354,"Arrival Date")</t>
  </si>
  <si>
    <t>=NF($F355,"Arrival Date")</t>
  </si>
  <si>
    <t>=NF($F356,"Arrival Date")</t>
  </si>
  <si>
    <t>=NF($F357,"Arrival Date")</t>
  </si>
  <si>
    <t>=NF($F358,"Arrival Date")</t>
  </si>
  <si>
    <t>=NF($F359,"Arrival Date")</t>
  </si>
  <si>
    <t>=NF($F360,"Arrival Date")</t>
  </si>
  <si>
    <t>=NF($F361,"Arrival Date")</t>
  </si>
  <si>
    <t>=NF($F362,"Arrival Date")</t>
  </si>
  <si>
    <t>=NF($F363,"Arrival Date")</t>
  </si>
  <si>
    <t>=NF($F364,"Arrival Date")</t>
  </si>
  <si>
    <t>=NF($F365,"Arrival Date")</t>
  </si>
  <si>
    <t>=NF($F366,"Arrival Date")</t>
  </si>
  <si>
    <t>=NF($F367,"Arrival Date")</t>
  </si>
  <si>
    <t>=NF($F368,"Arrival Date")</t>
  </si>
  <si>
    <t>=NF($F369,"Arrival Date")</t>
  </si>
  <si>
    <t>=NF($F370,"Arrival Date")</t>
  </si>
  <si>
    <t>=NF($F371,"Arrival Date")</t>
  </si>
  <si>
    <t>=NF($F372,"Arrival Date")</t>
  </si>
  <si>
    <t>=NF($F373,"Arrival Date")</t>
  </si>
  <si>
    <t>=NF($F374,"Arrival Date")</t>
  </si>
  <si>
    <t>=NF($F375,"Arrival Date")</t>
  </si>
  <si>
    <t>=NF($F376,"Arrival Date")</t>
  </si>
  <si>
    <t>=NF($F377,"Arrival Date")</t>
  </si>
  <si>
    <t>=NF($F378,"Arrival Date")</t>
  </si>
  <si>
    <t>=NF($F379,"Arrival Date")</t>
  </si>
  <si>
    <t>=NF($F380,"Arrival Date")</t>
  </si>
  <si>
    <t>=NF($F381,"Arrival Date")</t>
  </si>
  <si>
    <t>=NF($F382,"Arrival Date")</t>
  </si>
  <si>
    <t>=NF($F383,"Arrival Date")</t>
  </si>
  <si>
    <t>=NF($F384,"Arrival Date")</t>
  </si>
  <si>
    <t>=NF($F385,"Arrival Date")</t>
  </si>
  <si>
    <t>=NF($F386,"Arrival Date")</t>
  </si>
  <si>
    <t>=NF($F387,"Arrival Date")</t>
  </si>
  <si>
    <t>=NF($F388,"Arrival Date")</t>
  </si>
  <si>
    <t>=NF($F389,"Arrival Date")</t>
  </si>
  <si>
    <t>=NF($F390,"Arrival Date")</t>
  </si>
  <si>
    <t>=NF($F391,"Arrival Date")</t>
  </si>
  <si>
    <t>=NF($F392,"Arrival Date")</t>
  </si>
  <si>
    <t>=NF($F393,"Arrival Date")</t>
  </si>
  <si>
    <t>=NF($F394,"Arrival Date")</t>
  </si>
  <si>
    <t>=NF($F395,"Arrival Date")</t>
  </si>
  <si>
    <t>=NF($F396,"Arrival Date")</t>
  </si>
  <si>
    <t>=NF($F397,"Arrival Date")</t>
  </si>
  <si>
    <t>=NF($F398,"Arrival Date")</t>
  </si>
  <si>
    <t>=NF($F268,"Vessel Name")</t>
  </si>
  <si>
    <t>=NF($F269,"Vessel Name")</t>
  </si>
  <si>
    <t>=NF($F270,"Vessel Name")</t>
  </si>
  <si>
    <t>=NF($F271,"Vessel Name")</t>
  </si>
  <si>
    <t>=NF($F272,"Vessel Name")</t>
  </si>
  <si>
    <t>=NF($F275,"Vessel Name")</t>
  </si>
  <si>
    <t>=NF($F276,"Vessel Name")</t>
  </si>
  <si>
    <t>=NF($F277,"Vessel Name")</t>
  </si>
  <si>
    <t>=NF($F278,"Vessel Name")</t>
  </si>
  <si>
    <t>=NF($F279,"Vessel Name")</t>
  </si>
  <si>
    <t>=NF($F280,"Vessel Name")</t>
  </si>
  <si>
    <t>=NF($F281,"Vessel Name")</t>
  </si>
  <si>
    <t>=NF($F282,"Vessel Name")</t>
  </si>
  <si>
    <t>=NF($F283,"Vessel Name")</t>
  </si>
  <si>
    <t>=NF($F284,"Vessel Name")</t>
  </si>
  <si>
    <t>=NF($F285,"Vessel Name")</t>
  </si>
  <si>
    <t>=NF($F286,"Vessel Name")</t>
  </si>
  <si>
    <t>=NF($F287,"Vessel Name")</t>
  </si>
  <si>
    <t>=NF($F288,"Vessel Name")</t>
  </si>
  <si>
    <t>=NF($F289,"Vessel Name")</t>
  </si>
  <si>
    <t>=NF($F290,"Vessel Name")</t>
  </si>
  <si>
    <t>=NF($F291,"Vessel Name")</t>
  </si>
  <si>
    <t>=NF($F292,"Vessel Name")</t>
  </si>
  <si>
    <t>=NF($F293,"Vessel Name")</t>
  </si>
  <si>
    <t>=NF($F294,"Vessel Name")</t>
  </si>
  <si>
    <t>=NF($F295,"Vessel Name")</t>
  </si>
  <si>
    <t>=NF($F296,"Vessel Name")</t>
  </si>
  <si>
    <t>=NF($F299,"Vessel Name")</t>
  </si>
  <si>
    <t>=NF($F300,"Vessel Name")</t>
  </si>
  <si>
    <t>=NF($F301,"Vessel Name")</t>
  </si>
  <si>
    <t>=NF($F302,"Vessel Name")</t>
  </si>
  <si>
    <t>=NF($F303,"Vessel Name")</t>
  </si>
  <si>
    <t>=NF($F306,"Vessel Name")</t>
  </si>
  <si>
    <t>=NF($F307,"Vessel Name")</t>
  </si>
  <si>
    <t>=NF($F308,"Vessel Name")</t>
  </si>
  <si>
    <t>=NF($F309,"Vessel Name")</t>
  </si>
  <si>
    <t>=NF($F310,"Vessel Name")</t>
  </si>
  <si>
    <t>=NF($F311,"Vessel Name")</t>
  </si>
  <si>
    <t>=NF($F312,"Vessel Name")</t>
  </si>
  <si>
    <t>=NF($F313,"Vessel Name")</t>
  </si>
  <si>
    <t>=NF($F314,"Vessel Name")</t>
  </si>
  <si>
    <t>=NF($F315,"Vessel Name")</t>
  </si>
  <si>
    <t>=NF($F316,"Vessel Name")</t>
  </si>
  <si>
    <t>=NF($F317,"Vessel Name")</t>
  </si>
  <si>
    <t>=NF($F318,"Vessel Name")</t>
  </si>
  <si>
    <t>=NF($F319,"Vessel Name")</t>
  </si>
  <si>
    <t>=NF($F320,"Vessel Name")</t>
  </si>
  <si>
    <t>=NF($F321,"Vessel Name")</t>
  </si>
  <si>
    <t>=NF($F322,"Vessel Name")</t>
  </si>
  <si>
    <t>=NF($F323,"Vessel Name")</t>
  </si>
  <si>
    <t>=NF($F324,"Vessel Name")</t>
  </si>
  <si>
    <t>=NF($F325,"Vessel Name")</t>
  </si>
  <si>
    <t>=NF($F326,"Vessel Name")</t>
  </si>
  <si>
    <t>=NF($F329,"Vessel Name")</t>
  </si>
  <si>
    <t>=NF($F330,"Vessel Name")</t>
  </si>
  <si>
    <t>=NF($F331,"Vessel Name")</t>
  </si>
  <si>
    <t>=NF($F332,"Vessel Name")</t>
  </si>
  <si>
    <t>=NF($F333,"Vessel Name")</t>
  </si>
  <si>
    <t>=NF($F336,"Vessel Name")</t>
  </si>
  <si>
    <t>=NF($F337,"Vessel Name")</t>
  </si>
  <si>
    <t>=NF($F338,"Vessel Name")</t>
  </si>
  <si>
    <t>=NF($F339,"Vessel Name")</t>
  </si>
  <si>
    <t>=NF($F340,"Vessel Name")</t>
  </si>
  <si>
    <t>=NF($F341,"Vessel Name")</t>
  </si>
  <si>
    <t>=NF($F342,"Vessel Name")</t>
  </si>
  <si>
    <t>=NF($F343,"Vessel Name")</t>
  </si>
  <si>
    <t>=NF($F344,"Vessel Name")</t>
  </si>
  <si>
    <t>=NF($F345,"Vessel Name")</t>
  </si>
  <si>
    <t>=NF($F346,"Vessel Name")</t>
  </si>
  <si>
    <t>=NF($F347,"Vessel Name")</t>
  </si>
  <si>
    <t>=NF($F348,"Vessel Name")</t>
  </si>
  <si>
    <t>=NF($F349,"Vessel Name")</t>
  </si>
  <si>
    <t>=NF($F350,"Vessel Name")</t>
  </si>
  <si>
    <t>=NF($F351,"Vessel Name")</t>
  </si>
  <si>
    <t>=NF($F352,"Vessel Name")</t>
  </si>
  <si>
    <t>=NF($F353,"Vessel Name")</t>
  </si>
  <si>
    <t>=NF($F354,"Vessel Name")</t>
  </si>
  <si>
    <t>=NF($F355,"Vessel Name")</t>
  </si>
  <si>
    <t>=NF($F356,"Vessel Name")</t>
  </si>
  <si>
    <t>=NF($F357,"Vessel Name")</t>
  </si>
  <si>
    <t>=NF($F358,"Vessel Name")</t>
  </si>
  <si>
    <t>=NF($F359,"Vessel Name")</t>
  </si>
  <si>
    <t>=NF($F360,"Vessel Name")</t>
  </si>
  <si>
    <t>=NF($F361,"Vessel Name")</t>
  </si>
  <si>
    <t>=NF($F362,"Vessel Name")</t>
  </si>
  <si>
    <t>=NF($F363,"Vessel Name")</t>
  </si>
  <si>
    <t>=NF($F364,"Vessel Name")</t>
  </si>
  <si>
    <t>=NF($F365,"Vessel Name")</t>
  </si>
  <si>
    <t>=NF($F366,"Vessel Name")</t>
  </si>
  <si>
    <t>=NF($F367,"Vessel Name")</t>
  </si>
  <si>
    <t>=NF($F368,"Vessel Name")</t>
  </si>
  <si>
    <t>=NF($F369,"Vessel Name")</t>
  </si>
  <si>
    <t>=NF($F370,"Vessel Name")</t>
  </si>
  <si>
    <t>=NF($F371,"Vessel Name")</t>
  </si>
  <si>
    <t>=NF($F372,"Vessel Name")</t>
  </si>
  <si>
    <t>=NF($F373,"Vessel Name")</t>
  </si>
  <si>
    <t>=NF($F374,"Vessel Name")</t>
  </si>
  <si>
    <t>=NF($F375,"Vessel Name")</t>
  </si>
  <si>
    <t>=NF($F376,"Vessel Name")</t>
  </si>
  <si>
    <t>=NF($F377,"Vessel Name")</t>
  </si>
  <si>
    <t>=NF($F378,"Vessel Name")</t>
  </si>
  <si>
    <t>=NF($F379,"Vessel Name")</t>
  </si>
  <si>
    <t>=NF($F380,"Vessel Name")</t>
  </si>
  <si>
    <t>=NF($F381,"Vessel Name")</t>
  </si>
  <si>
    <t>=NF($F382,"Vessel Name")</t>
  </si>
  <si>
    <t>=NF($F383,"Vessel Name")</t>
  </si>
  <si>
    <t>=NF($F384,"Vessel Name")</t>
  </si>
  <si>
    <t>=NF($F385,"Vessel Name")</t>
  </si>
  <si>
    <t>=NF($F386,"Vessel Name")</t>
  </si>
  <si>
    <t>=NF($F387,"Vessel Name")</t>
  </si>
  <si>
    <t>=NF($F388,"Vessel Name")</t>
  </si>
  <si>
    <t>=NF($F389,"Vessel Name")</t>
  </si>
  <si>
    <t>=NF($F390,"Vessel Name")</t>
  </si>
  <si>
    <t>=NF($F391,"Vessel Name")</t>
  </si>
  <si>
    <t>=NF($F392,"Vessel Name")</t>
  </si>
  <si>
    <t>=NF($F393,"Vessel Name")</t>
  </si>
  <si>
    <t>=NF($F394,"Vessel Name")</t>
  </si>
  <si>
    <t>=NF($F395,"Vessel Name")</t>
  </si>
  <si>
    <t>=NF($F396,"Vessel Name")</t>
  </si>
  <si>
    <t>=NF($F397,"Vessel Name")</t>
  </si>
  <si>
    <t>=NF($F398,"Vessel Name")</t>
  </si>
  <si>
    <t>=NF($F268,"Voyage No.")</t>
  </si>
  <si>
    <t>=NF($F269,"Voyage No.")</t>
  </si>
  <si>
    <t>=NF($F270,"Voyage No.")</t>
  </si>
  <si>
    <t>=NF($F271,"Voyage No.")</t>
  </si>
  <si>
    <t>=NF($F272,"Voyage No.")</t>
  </si>
  <si>
    <t>=NF($F275,"Voyage No.")</t>
  </si>
  <si>
    <t>=NF($F276,"Voyage No.")</t>
  </si>
  <si>
    <t>=NF($F277,"Voyage No.")</t>
  </si>
  <si>
    <t>=NF($F278,"Voyage No.")</t>
  </si>
  <si>
    <t>=NF($F279,"Voyage No.")</t>
  </si>
  <si>
    <t>=NF($F280,"Voyage No.")</t>
  </si>
  <si>
    <t>=NF($F281,"Voyage No.")</t>
  </si>
  <si>
    <t>=NF($F282,"Voyage No.")</t>
  </si>
  <si>
    <t>=NF($F283,"Voyage No.")</t>
  </si>
  <si>
    <t>=NF($F284,"Voyage No.")</t>
  </si>
  <si>
    <t>=NF($F285,"Voyage No.")</t>
  </si>
  <si>
    <t>=NF($F286,"Voyage No.")</t>
  </si>
  <si>
    <t>=NF($F287,"Voyage No.")</t>
  </si>
  <si>
    <t>=NF($F288,"Voyage No.")</t>
  </si>
  <si>
    <t>=NF($F289,"Voyage No.")</t>
  </si>
  <si>
    <t>=NF($F290,"Voyage No.")</t>
  </si>
  <si>
    <t>=NF($F291,"Voyage No.")</t>
  </si>
  <si>
    <t>=NF($F292,"Voyage No.")</t>
  </si>
  <si>
    <t>=NF($F293,"Voyage No.")</t>
  </si>
  <si>
    <t>=NF($F294,"Voyage No.")</t>
  </si>
  <si>
    <t>=NF($F295,"Voyage No.")</t>
  </si>
  <si>
    <t>=NF($F296,"Voyage No.")</t>
  </si>
  <si>
    <t>=NF($F299,"Voyage No.")</t>
  </si>
  <si>
    <t>=NF($F300,"Voyage No.")</t>
  </si>
  <si>
    <t>=NF($F301,"Voyage No.")</t>
  </si>
  <si>
    <t>=NF($F302,"Voyage No.")</t>
  </si>
  <si>
    <t>=NF($F303,"Voyage No.")</t>
  </si>
  <si>
    <t>=NF($F306,"Voyage No.")</t>
  </si>
  <si>
    <t>=NF($F307,"Voyage No.")</t>
  </si>
  <si>
    <t>=NF($F308,"Voyage No.")</t>
  </si>
  <si>
    <t>=NF($F309,"Voyage No.")</t>
  </si>
  <si>
    <t>=NF($F310,"Voyage No.")</t>
  </si>
  <si>
    <t>=NF($F311,"Voyage No.")</t>
  </si>
  <si>
    <t>=NF($F312,"Voyage No.")</t>
  </si>
  <si>
    <t>=NF($F313,"Voyage No.")</t>
  </si>
  <si>
    <t>=NF($F314,"Voyage No.")</t>
  </si>
  <si>
    <t>=NF($F315,"Voyage No.")</t>
  </si>
  <si>
    <t>=NF($F316,"Voyage No.")</t>
  </si>
  <si>
    <t>=NF($F317,"Voyage No.")</t>
  </si>
  <si>
    <t>=NF($F318,"Voyage No.")</t>
  </si>
  <si>
    <t>=NF($F319,"Voyage No.")</t>
  </si>
  <si>
    <t>=NF($F320,"Voyage No.")</t>
  </si>
  <si>
    <t>=NF($F321,"Voyage No.")</t>
  </si>
  <si>
    <t>=NF($F322,"Voyage No.")</t>
  </si>
  <si>
    <t>=NF($F323,"Voyage No.")</t>
  </si>
  <si>
    <t>=NF($F324,"Voyage No.")</t>
  </si>
  <si>
    <t>=NF($F325,"Voyage No.")</t>
  </si>
  <si>
    <t>=NF($F326,"Voyage No.")</t>
  </si>
  <si>
    <t>=NF($F329,"Voyage No.")</t>
  </si>
  <si>
    <t>=NF($F330,"Voyage No.")</t>
  </si>
  <si>
    <t>=NF($F331,"Voyage No.")</t>
  </si>
  <si>
    <t>=NF($F332,"Voyage No.")</t>
  </si>
  <si>
    <t>=NF($F333,"Voyage No.")</t>
  </si>
  <si>
    <t>=NF($F336,"Voyage No.")</t>
  </si>
  <si>
    <t>=NF($F337,"Voyage No.")</t>
  </si>
  <si>
    <t>=NF($F338,"Voyage No.")</t>
  </si>
  <si>
    <t>=NF($F339,"Voyage No.")</t>
  </si>
  <si>
    <t>=NF($F340,"Voyage No.")</t>
  </si>
  <si>
    <t>=NF($F341,"Voyage No.")</t>
  </si>
  <si>
    <t>=NF($F342,"Voyage No.")</t>
  </si>
  <si>
    <t>=NF($F343,"Voyage No.")</t>
  </si>
  <si>
    <t>=NF($F344,"Voyage No.")</t>
  </si>
  <si>
    <t>=NF($F345,"Voyage No.")</t>
  </si>
  <si>
    <t>=NF($F346,"Voyage No.")</t>
  </si>
  <si>
    <t>=NF($F347,"Voyage No.")</t>
  </si>
  <si>
    <t>=NF($F348,"Voyage No.")</t>
  </si>
  <si>
    <t>=NF($F349,"Voyage No.")</t>
  </si>
  <si>
    <t>=NF($F350,"Voyage No.")</t>
  </si>
  <si>
    <t>=NF($F351,"Voyage No.")</t>
  </si>
  <si>
    <t>=NF($F352,"Voyage No.")</t>
  </si>
  <si>
    <t>=NF($F353,"Voyage No.")</t>
  </si>
  <si>
    <t>=NF($F354,"Voyage No.")</t>
  </si>
  <si>
    <t>=NF($F355,"Voyage No.")</t>
  </si>
  <si>
    <t>=NF($F356,"Voyage No.")</t>
  </si>
  <si>
    <t>=NF($F357,"Voyage No.")</t>
  </si>
  <si>
    <t>=NF($F358,"Voyage No.")</t>
  </si>
  <si>
    <t>=NF($F359,"Voyage No.")</t>
  </si>
  <si>
    <t>=NF($F360,"Voyage No.")</t>
  </si>
  <si>
    <t>=NF($F361,"Voyage No.")</t>
  </si>
  <si>
    <t>=NF($F362,"Voyage No.")</t>
  </si>
  <si>
    <t>=NF($F363,"Voyage No.")</t>
  </si>
  <si>
    <t>=NF($F364,"Voyage No.")</t>
  </si>
  <si>
    <t>=NF($F365,"Voyage No.")</t>
  </si>
  <si>
    <t>=NF($F366,"Voyage No.")</t>
  </si>
  <si>
    <t>=NF($F367,"Voyage No.")</t>
  </si>
  <si>
    <t>=NF($F368,"Voyage No.")</t>
  </si>
  <si>
    <t>=NF($F369,"Voyage No.")</t>
  </si>
  <si>
    <t>=NF($F370,"Voyage No.")</t>
  </si>
  <si>
    <t>=NF($F371,"Voyage No.")</t>
  </si>
  <si>
    <t>=NF($F372,"Voyage No.")</t>
  </si>
  <si>
    <t>=NF($F373,"Voyage No.")</t>
  </si>
  <si>
    <t>=NF($F374,"Voyage No.")</t>
  </si>
  <si>
    <t>=NF($F375,"Voyage No.")</t>
  </si>
  <si>
    <t>=NF($F376,"Voyage No.")</t>
  </si>
  <si>
    <t>=NF($F377,"Voyage No.")</t>
  </si>
  <si>
    <t>=NF($F378,"Voyage No.")</t>
  </si>
  <si>
    <t>=NF($F379,"Voyage No.")</t>
  </si>
  <si>
    <t>=NF($F380,"Voyage No.")</t>
  </si>
  <si>
    <t>=NF($F381,"Voyage No.")</t>
  </si>
  <si>
    <t>=NF($F382,"Voyage No.")</t>
  </si>
  <si>
    <t>=NF($F383,"Voyage No.")</t>
  </si>
  <si>
    <t>=NF($F384,"Voyage No.")</t>
  </si>
  <si>
    <t>=NF($F385,"Voyage No.")</t>
  </si>
  <si>
    <t>=NF($F386,"Voyage No.")</t>
  </si>
  <si>
    <t>=NF($F387,"Voyage No.")</t>
  </si>
  <si>
    <t>=NF($F388,"Voyage No.")</t>
  </si>
  <si>
    <t>=NF($F389,"Voyage No.")</t>
  </si>
  <si>
    <t>=NF($F390,"Voyage No.")</t>
  </si>
  <si>
    <t>=NF($F391,"Voyage No.")</t>
  </si>
  <si>
    <t>=NF($F392,"Voyage No.")</t>
  </si>
  <si>
    <t>=NF($F393,"Voyage No.")</t>
  </si>
  <si>
    <t>=NF($F394,"Voyage No.")</t>
  </si>
  <si>
    <t>=NF($F395,"Voyage No.")</t>
  </si>
  <si>
    <t>=NF($F396,"Voyage No.")</t>
  </si>
  <si>
    <t>=NF($F397,"Voyage No.")</t>
  </si>
  <si>
    <t>=NF($F398,"Voyage No.")</t>
  </si>
  <si>
    <t>=NF($F238,"Arrival Date")</t>
  </si>
  <si>
    <t>=NF($F239,"Arrival Date")</t>
  </si>
  <si>
    <t>=NF($F240,"Arrival Date")</t>
  </si>
  <si>
    <t>=NF($F241,"Arrival Date")</t>
  </si>
  <si>
    <t>=NF($F242,"Arrival Date")</t>
  </si>
  <si>
    <t>=NF($F243,"Arrival Date")</t>
  </si>
  <si>
    <t>=NF($F244,"Arrival Date")</t>
  </si>
  <si>
    <t>=NF($F245,"Arrival Date")</t>
  </si>
  <si>
    <t>=NF($F246,"Arrival Date")</t>
  </si>
  <si>
    <t>=NF($F247,"Arrival Date")</t>
  </si>
  <si>
    <t>=NF($F248,"Arrival Date")</t>
  </si>
  <si>
    <t>=NF($F249,"Arrival Date")</t>
  </si>
  <si>
    <t>=NF($F250,"Arrival Date")</t>
  </si>
  <si>
    <t>=NF($F251,"Arrival Date")</t>
  </si>
  <si>
    <t>=NF($F252,"Arrival Date")</t>
  </si>
  <si>
    <t>=NF($F253,"Arrival Date")</t>
  </si>
  <si>
    <t>=NF($F254,"Arrival Date")</t>
  </si>
  <si>
    <t>=NF($F255,"Arrival Date")</t>
  </si>
  <si>
    <t>=NF($F256,"Arrival Date")</t>
  </si>
  <si>
    <t>=NF($F257,"Arrival Date")</t>
  </si>
  <si>
    <t>=NF($F258,"Arrival Date")</t>
  </si>
  <si>
    <t>=NF($F259,"Arrival Date")</t>
  </si>
  <si>
    <t>=NF($F260,"Arrival Date")</t>
  </si>
  <si>
    <t>=NF($F261,"Arrival Date")</t>
  </si>
  <si>
    <t>=NF($F262,"Arrival Date")</t>
  </si>
  <si>
    <t>=NF($F263,"Arrival Date")</t>
  </si>
  <si>
    <t>=NF($F264,"Arrival Date")</t>
  </si>
  <si>
    <t>=NF($F265,"Arrival Date")</t>
  </si>
  <si>
    <t>=NF($F238,"Vessel Name")</t>
  </si>
  <si>
    <t>=NF($F239,"Vessel Name")</t>
  </si>
  <si>
    <t>=NF($F240,"Vessel Name")</t>
  </si>
  <si>
    <t>=NF($F241,"Vessel Name")</t>
  </si>
  <si>
    <t>=NF($F242,"Vessel Name")</t>
  </si>
  <si>
    <t>=NF($F243,"Vessel Name")</t>
  </si>
  <si>
    <t>=NF($F244,"Vessel Name")</t>
  </si>
  <si>
    <t>=NF($F245,"Vessel Name")</t>
  </si>
  <si>
    <t>=NF($F246,"Vessel Name")</t>
  </si>
  <si>
    <t>=NF($F247,"Vessel Name")</t>
  </si>
  <si>
    <t>=NF($F248,"Vessel Name")</t>
  </si>
  <si>
    <t>=NF($F249,"Vessel Name")</t>
  </si>
  <si>
    <t>=NF($F250,"Vessel Name")</t>
  </si>
  <si>
    <t>=NF($F251,"Vessel Name")</t>
  </si>
  <si>
    <t>=NF($F252,"Vessel Name")</t>
  </si>
  <si>
    <t>=NF($F253,"Vessel Name")</t>
  </si>
  <si>
    <t>=NF($F254,"Vessel Name")</t>
  </si>
  <si>
    <t>=NF($F255,"Vessel Name")</t>
  </si>
  <si>
    <t>=NF($F256,"Vessel Name")</t>
  </si>
  <si>
    <t>=NF($F257,"Vessel Name")</t>
  </si>
  <si>
    <t>=NF($F258,"Vessel Name")</t>
  </si>
  <si>
    <t>=NF($F259,"Vessel Name")</t>
  </si>
  <si>
    <t>=NF($F260,"Vessel Name")</t>
  </si>
  <si>
    <t>=NF($F261,"Vessel Name")</t>
  </si>
  <si>
    <t>=NF($F262,"Vessel Name")</t>
  </si>
  <si>
    <t>=NF($F263,"Vessel Name")</t>
  </si>
  <si>
    <t>=NF($F264,"Vessel Name")</t>
  </si>
  <si>
    <t>=NF($F265,"Vessel Name")</t>
  </si>
  <si>
    <t>=NF($F238,"Voyage No.")</t>
  </si>
  <si>
    <t>=NF($F239,"Voyage No.")</t>
  </si>
  <si>
    <t>=NF($F240,"Voyage No.")</t>
  </si>
  <si>
    <t>=NF($F241,"Voyage No.")</t>
  </si>
  <si>
    <t>=NF($F242,"Voyage No.")</t>
  </si>
  <si>
    <t>=NF($F243,"Voyage No.")</t>
  </si>
  <si>
    <t>=NF($F244,"Voyage No.")</t>
  </si>
  <si>
    <t>=NF($F245,"Voyage No.")</t>
  </si>
  <si>
    <t>=NF($F246,"Voyage No.")</t>
  </si>
  <si>
    <t>=NF($F247,"Voyage No.")</t>
  </si>
  <si>
    <t>=NF($F248,"Voyage No.")</t>
  </si>
  <si>
    <t>=NF($F249,"Voyage No.")</t>
  </si>
  <si>
    <t>=NF($F250,"Voyage No.")</t>
  </si>
  <si>
    <t>=NF($F251,"Voyage No.")</t>
  </si>
  <si>
    <t>=NF($F252,"Voyage No.")</t>
  </si>
  <si>
    <t>=NF($F253,"Voyage No.")</t>
  </si>
  <si>
    <t>=NF($F254,"Voyage No.")</t>
  </si>
  <si>
    <t>=NF($F255,"Voyage No.")</t>
  </si>
  <si>
    <t>=NF($F256,"Voyage No.")</t>
  </si>
  <si>
    <t>=NF($F257,"Voyage No.")</t>
  </si>
  <si>
    <t>=NF($F258,"Voyage No.")</t>
  </si>
  <si>
    <t>=NF($F259,"Voyage No.")</t>
  </si>
  <si>
    <t>=NF($F260,"Voyage No.")</t>
  </si>
  <si>
    <t>=NF($F261,"Voyage No.")</t>
  </si>
  <si>
    <t>=NF($F262,"Voyage No.")</t>
  </si>
  <si>
    <t>=NF($F263,"Voyage No.")</t>
  </si>
  <si>
    <t>=NF($F264,"Voyage No.")</t>
  </si>
  <si>
    <t>=NF($F265,"Voyage No.")</t>
  </si>
  <si>
    <t>=NF($F206,"Arrival Date")</t>
  </si>
  <si>
    <t>=NF($F207,"Arrival Date")</t>
  </si>
  <si>
    <t>=NF($F208,"Arrival Date")</t>
  </si>
  <si>
    <t>=NF($F209,"Arrival Date")</t>
  </si>
  <si>
    <t>=NF($F210,"Arrival Date")</t>
  </si>
  <si>
    <t>=NF($F211,"Arrival Date")</t>
  </si>
  <si>
    <t>=NF($F212,"Arrival Date")</t>
  </si>
  <si>
    <t>=NF($F213,"Arrival Date")</t>
  </si>
  <si>
    <t>=NF($F214,"Arrival Date")</t>
  </si>
  <si>
    <t>=NF($F215,"Arrival Date")</t>
  </si>
  <si>
    <t>=NF($F216,"Arrival Date")</t>
  </si>
  <si>
    <t>=NF($F217,"Arrival Date")</t>
  </si>
  <si>
    <t>=NF($F218,"Arrival Date")</t>
  </si>
  <si>
    <t>=NF($F219,"Arrival Date")</t>
  </si>
  <si>
    <t>=NF($F220,"Arrival Date")</t>
  </si>
  <si>
    <t>=NF($F221,"Arrival Date")</t>
  </si>
  <si>
    <t>=NF($F222,"Arrival Date")</t>
  </si>
  <si>
    <t>=NF($F223,"Arrival Date")</t>
  </si>
  <si>
    <t>=NF($F224,"Arrival Date")</t>
  </si>
  <si>
    <t>=NF($F225,"Arrival Date")</t>
  </si>
  <si>
    <t>=NF($F226,"Arrival Date")</t>
  </si>
  <si>
    <t>=NF($F227,"Arrival Date")</t>
  </si>
  <si>
    <t>=NF($F228,"Arrival Date")</t>
  </si>
  <si>
    <t>=NF($F229,"Arrival Date")</t>
  </si>
  <si>
    <t>=NF($F230,"Arrival Date")</t>
  </si>
  <si>
    <t>=NF($F231,"Arrival Date")</t>
  </si>
  <si>
    <t>=NF($F232,"Arrival Date")</t>
  </si>
  <si>
    <t>=NF($F233,"Arrival Date")</t>
  </si>
  <si>
    <t>=NF($F234,"Arrival Date")</t>
  </si>
  <si>
    <t>=NF($F235,"Arrival Date")</t>
  </si>
  <si>
    <t>=NF($F206,"Vessel Name")</t>
  </si>
  <si>
    <t>=NF($F207,"Vessel Name")</t>
  </si>
  <si>
    <t>=NF($F208,"Vessel Name")</t>
  </si>
  <si>
    <t>=NF($F209,"Vessel Name")</t>
  </si>
  <si>
    <t>=NF($F210,"Vessel Name")</t>
  </si>
  <si>
    <t>=NF($F211,"Vessel Name")</t>
  </si>
  <si>
    <t>=NF($F212,"Vessel Name")</t>
  </si>
  <si>
    <t>=NF($F213,"Vessel Name")</t>
  </si>
  <si>
    <t>=NF($F214,"Vessel Name")</t>
  </si>
  <si>
    <t>=NF($F215,"Vessel Name")</t>
  </si>
  <si>
    <t>=NF($F216,"Vessel Name")</t>
  </si>
  <si>
    <t>=NF($F217,"Vessel Name")</t>
  </si>
  <si>
    <t>=NF($F218,"Vessel Name")</t>
  </si>
  <si>
    <t>=NF($F219,"Vessel Name")</t>
  </si>
  <si>
    <t>=NF($F220,"Vessel Name")</t>
  </si>
  <si>
    <t>=NF($F221,"Vessel Name")</t>
  </si>
  <si>
    <t>=NF($F222,"Vessel Name")</t>
  </si>
  <si>
    <t>=NF($F223,"Vessel Name")</t>
  </si>
  <si>
    <t>=NF($F224,"Vessel Name")</t>
  </si>
  <si>
    <t>=NF($F225,"Vessel Name")</t>
  </si>
  <si>
    <t>=NF($F226,"Vessel Name")</t>
  </si>
  <si>
    <t>=NF($F227,"Vessel Name")</t>
  </si>
  <si>
    <t>=NF($F228,"Vessel Name")</t>
  </si>
  <si>
    <t>=NF($F229,"Vessel Name")</t>
  </si>
  <si>
    <t>=NF($F230,"Vessel Name")</t>
  </si>
  <si>
    <t>=NF($F231,"Vessel Name")</t>
  </si>
  <si>
    <t>=NF($F232,"Vessel Name")</t>
  </si>
  <si>
    <t>=NF($F233,"Vessel Name")</t>
  </si>
  <si>
    <t>=NF($F234,"Vessel Name")</t>
  </si>
  <si>
    <t>=NF($F235,"Vessel Name")</t>
  </si>
  <si>
    <t>=NF($F206,"Voyage No.")</t>
  </si>
  <si>
    <t>=NF($F207,"Voyage No.")</t>
  </si>
  <si>
    <t>=NF($F208,"Voyage No.")</t>
  </si>
  <si>
    <t>=NF($F209,"Voyage No.")</t>
  </si>
  <si>
    <t>=NF($F210,"Voyage No.")</t>
  </si>
  <si>
    <t>=NF($F211,"Voyage No.")</t>
  </si>
  <si>
    <t>=NF($F212,"Voyage No.")</t>
  </si>
  <si>
    <t>=NF($F213,"Voyage No.")</t>
  </si>
  <si>
    <t>=NF($F214,"Voyage No.")</t>
  </si>
  <si>
    <t>=NF($F215,"Voyage No.")</t>
  </si>
  <si>
    <t>=NF($F216,"Voyage No.")</t>
  </si>
  <si>
    <t>=NF($F217,"Voyage No.")</t>
  </si>
  <si>
    <t>=NF($F218,"Voyage No.")</t>
  </si>
  <si>
    <t>=NF($F219,"Voyage No.")</t>
  </si>
  <si>
    <t>=NF($F220,"Voyage No.")</t>
  </si>
  <si>
    <t>=NF($F221,"Voyage No.")</t>
  </si>
  <si>
    <t>=NF($F222,"Voyage No.")</t>
  </si>
  <si>
    <t>=NF($F223,"Voyage No.")</t>
  </si>
  <si>
    <t>=NF($F224,"Voyage No.")</t>
  </si>
  <si>
    <t>=NF($F225,"Voyage No.")</t>
  </si>
  <si>
    <t>=NF($F226,"Voyage No.")</t>
  </si>
  <si>
    <t>=NF($F227,"Voyage No.")</t>
  </si>
  <si>
    <t>=NF($F228,"Voyage No.")</t>
  </si>
  <si>
    <t>=NF($F229,"Voyage No.")</t>
  </si>
  <si>
    <t>=NF($F230,"Voyage No.")</t>
  </si>
  <si>
    <t>=NF($F231,"Voyage No.")</t>
  </si>
  <si>
    <t>=NF($F232,"Voyage No.")</t>
  </si>
  <si>
    <t>=NF($F233,"Voyage No.")</t>
  </si>
  <si>
    <t>=NF($F234,"Voyage No.")</t>
  </si>
  <si>
    <t>=NF($F235,"Voyage No.")</t>
  </si>
  <si>
    <t>=NF($F113,"Arrival Date")</t>
  </si>
  <si>
    <t>=NF($F114,"Arrival Date")</t>
  </si>
  <si>
    <t>=NF($F115,"Arrival Date")</t>
  </si>
  <si>
    <t>=NF($F116,"Arrival Date")</t>
  </si>
  <si>
    <t>=NF($F117,"Arrival Date")</t>
  </si>
  <si>
    <t>=NF($F118,"Arrival Date")</t>
  </si>
  <si>
    <t>=NF($F119,"Arrival Date")</t>
  </si>
  <si>
    <t>=NF($F120,"Arrival Date")</t>
  </si>
  <si>
    <t>=NF($F121,"Arrival Date")</t>
  </si>
  <si>
    <t>=NF($F122,"Arrival Date")</t>
  </si>
  <si>
    <t>=NF($F123,"Arrival Date")</t>
  </si>
  <si>
    <t>=NF($F124,"Arrival Date")</t>
  </si>
  <si>
    <t>=NF($F125,"Arrival Date")</t>
  </si>
  <si>
    <t>=NF($F126,"Arrival Date")</t>
  </si>
  <si>
    <t>=NF($F127,"Arrival Date")</t>
  </si>
  <si>
    <t>=NF($F130,"Arrival Date")</t>
  </si>
  <si>
    <t>=NF($F133,"Arrival Date")</t>
  </si>
  <si>
    <t>=NF($F134,"Arrival Date")</t>
  </si>
  <si>
    <t>=NF($F135,"Arrival Date")</t>
  </si>
  <si>
    <t>=NF($F136,"Arrival Date")</t>
  </si>
  <si>
    <t>=NF($F137,"Arrival Date")</t>
  </si>
  <si>
    <t>=NF($F138,"Arrival Date")</t>
  </si>
  <si>
    <t>=NF($F139,"Arrival Date")</t>
  </si>
  <si>
    <t>=NF($F140,"Arrival Date")</t>
  </si>
  <si>
    <t>=NF($F141,"Arrival Date")</t>
  </si>
  <si>
    <t>=NF($F142,"Arrival Date")</t>
  </si>
  <si>
    <t>=NF($F143,"Arrival Date")</t>
  </si>
  <si>
    <t>=NF($F144,"Arrival Date")</t>
  </si>
  <si>
    <t>=NF($F145,"Arrival Date")</t>
  </si>
  <si>
    <t>=NF($F146,"Arrival Date")</t>
  </si>
  <si>
    <t>=NF($F147,"Arrival Date")</t>
  </si>
  <si>
    <t>=NF($F148,"Arrival Date")</t>
  </si>
  <si>
    <t>=NF($F149,"Arrival Date")</t>
  </si>
  <si>
    <t>=NF($F150,"Arrival Date")</t>
  </si>
  <si>
    <t>=NF($F151,"Arrival Date")</t>
  </si>
  <si>
    <t>=NF($F152,"Arrival Date")</t>
  </si>
  <si>
    <t>=NF($F153,"Arrival Date")</t>
  </si>
  <si>
    <t>=NF($F154,"Arrival Date")</t>
  </si>
  <si>
    <t>=NF($F155,"Arrival Date")</t>
  </si>
  <si>
    <t>=NF($F156,"Arrival Date")</t>
  </si>
  <si>
    <t>=NF($F157,"Arrival Date")</t>
  </si>
  <si>
    <t>=NF($F158,"Arrival Date")</t>
  </si>
  <si>
    <t>=NF($F159,"Arrival Date")</t>
  </si>
  <si>
    <t>=NF($F160,"Arrival Date")</t>
  </si>
  <si>
    <t>=NF($F161,"Arrival Date")</t>
  </si>
  <si>
    <t>=NF($F162,"Arrival Date")</t>
  </si>
  <si>
    <t>=NF($F163,"Arrival Date")</t>
  </si>
  <si>
    <t>=NF($F164,"Arrival Date")</t>
  </si>
  <si>
    <t>=NF($F165,"Arrival Date")</t>
  </si>
  <si>
    <t>=NF($F166,"Arrival Date")</t>
  </si>
  <si>
    <t>=NF($F167,"Arrival Date")</t>
  </si>
  <si>
    <t>=NF($F168,"Arrival Date")</t>
  </si>
  <si>
    <t>=NF($F169,"Arrival Date")</t>
  </si>
  <si>
    <t>=NF($F170,"Arrival Date")</t>
  </si>
  <si>
    <t>=NF($F171,"Arrival Date")</t>
  </si>
  <si>
    <t>=NF($F172,"Arrival Date")</t>
  </si>
  <si>
    <t>=NF($F173,"Arrival Date")</t>
  </si>
  <si>
    <t>=NF($F174,"Arrival Date")</t>
  </si>
  <si>
    <t>=NF($F175,"Arrival Date")</t>
  </si>
  <si>
    <t>=NF($F176,"Arrival Date")</t>
  </si>
  <si>
    <t>=NF($F177,"Arrival Date")</t>
  </si>
  <si>
    <t>=NF($F178,"Arrival Date")</t>
  </si>
  <si>
    <t>=NF($F179,"Arrival Date")</t>
  </si>
  <si>
    <t>=NF($F180,"Arrival Date")</t>
  </si>
  <si>
    <t>=NF($F181,"Arrival Date")</t>
  </si>
  <si>
    <t>=NF($F182,"Arrival Date")</t>
  </si>
  <si>
    <t>=NF($F183,"Arrival Date")</t>
  </si>
  <si>
    <t>=NF($F184,"Arrival Date")</t>
  </si>
  <si>
    <t>=NF($F185,"Arrival Date")</t>
  </si>
  <si>
    <t>=NF($F186,"Arrival Date")</t>
  </si>
  <si>
    <t>=NF($F187,"Arrival Date")</t>
  </si>
  <si>
    <t>=NF($F188,"Arrival Date")</t>
  </si>
  <si>
    <t>=NF($F189,"Arrival Date")</t>
  </si>
  <si>
    <t>=NF($F190,"Arrival Date")</t>
  </si>
  <si>
    <t>=NF($F191,"Arrival Date")</t>
  </si>
  <si>
    <t>=NF($F192,"Arrival Date")</t>
  </si>
  <si>
    <t>=NF($F193,"Arrival Date")</t>
  </si>
  <si>
    <t>=NF($F194,"Arrival Date")</t>
  </si>
  <si>
    <t>=NF($F195,"Arrival Date")</t>
  </si>
  <si>
    <t>=NF($F196,"Arrival Date")</t>
  </si>
  <si>
    <t>=NF($F197,"Arrival Date")</t>
  </si>
  <si>
    <t>=NF($F198,"Arrival Date")</t>
  </si>
  <si>
    <t>=NF($F199,"Arrival Date")</t>
  </si>
  <si>
    <t>=NF($F200,"Arrival Date")</t>
  </si>
  <si>
    <t>=NF($F201,"Arrival Date")</t>
  </si>
  <si>
    <t>=NF($F202,"Arrival Date")</t>
  </si>
  <si>
    <t>=NF($F203,"Arrival Date")</t>
  </si>
  <si>
    <t>=NF($F113,"Vessel Name")</t>
  </si>
  <si>
    <t>=NF($F114,"Vessel Name")</t>
  </si>
  <si>
    <t>=NF($F115,"Vessel Name")</t>
  </si>
  <si>
    <t>=NF($F116,"Vessel Name")</t>
  </si>
  <si>
    <t>=NF($F117,"Vessel Name")</t>
  </si>
  <si>
    <t>=NF($F118,"Vessel Name")</t>
  </si>
  <si>
    <t>=NF($F119,"Vessel Name")</t>
  </si>
  <si>
    <t>=NF($F120,"Vessel Name")</t>
  </si>
  <si>
    <t>=NF($F121,"Vessel Name")</t>
  </si>
  <si>
    <t>=NF($F122,"Vessel Name")</t>
  </si>
  <si>
    <t>=NF($F123,"Vessel Name")</t>
  </si>
  <si>
    <t>=NF($F124,"Vessel Name")</t>
  </si>
  <si>
    <t>=NF($F125,"Vessel Name")</t>
  </si>
  <si>
    <t>=NF($F126,"Vessel Name")</t>
  </si>
  <si>
    <t>=NF($F127,"Vessel Name")</t>
  </si>
  <si>
    <t>=NF($F130,"Vessel Name")</t>
  </si>
  <si>
    <t>=NF($F133,"Vessel Name")</t>
  </si>
  <si>
    <t>=NF($F134,"Vessel Name")</t>
  </si>
  <si>
    <t>=NF($F135,"Vessel Name")</t>
  </si>
  <si>
    <t>=NF($F136,"Vessel Name")</t>
  </si>
  <si>
    <t>=NF($F137,"Vessel Name")</t>
  </si>
  <si>
    <t>=NF($F138,"Vessel Name")</t>
  </si>
  <si>
    <t>=NF($F139,"Vessel Name")</t>
  </si>
  <si>
    <t>=NF($F140,"Vessel Name")</t>
  </si>
  <si>
    <t>=NF($F141,"Vessel Name")</t>
  </si>
  <si>
    <t>=NF($F142,"Vessel Name")</t>
  </si>
  <si>
    <t>=NF($F143,"Vessel Name")</t>
  </si>
  <si>
    <t>=NF($F144,"Vessel Name")</t>
  </si>
  <si>
    <t>=NF($F145,"Vessel Name")</t>
  </si>
  <si>
    <t>=NF($F146,"Vessel Name")</t>
  </si>
  <si>
    <t>=NF($F147,"Vessel Name")</t>
  </si>
  <si>
    <t>=NF($F148,"Vessel Name")</t>
  </si>
  <si>
    <t>=NF($F149,"Vessel Name")</t>
  </si>
  <si>
    <t>=NF($F150,"Vessel Name")</t>
  </si>
  <si>
    <t>=NF($F151,"Vessel Name")</t>
  </si>
  <si>
    <t>=NF($F152,"Vessel Name")</t>
  </si>
  <si>
    <t>=NF($F153,"Vessel Name")</t>
  </si>
  <si>
    <t>=NF($F154,"Vessel Name")</t>
  </si>
  <si>
    <t>=NF($F155,"Vessel Name")</t>
  </si>
  <si>
    <t>=NF($F156,"Vessel Name")</t>
  </si>
  <si>
    <t>=NF($F157,"Vessel Name")</t>
  </si>
  <si>
    <t>=NF($F158,"Vessel Name")</t>
  </si>
  <si>
    <t>=NF($F159,"Vessel Name")</t>
  </si>
  <si>
    <t>=NF($F160,"Vessel Name")</t>
  </si>
  <si>
    <t>=NF($F161,"Vessel Name")</t>
  </si>
  <si>
    <t>=NF($F162,"Vessel Name")</t>
  </si>
  <si>
    <t>=NF($F163,"Vessel Name")</t>
  </si>
  <si>
    <t>=NF($F164,"Vessel Name")</t>
  </si>
  <si>
    <t>=NF($F165,"Vessel Name")</t>
  </si>
  <si>
    <t>=NF($F166,"Vessel Name")</t>
  </si>
  <si>
    <t>=NF($F167,"Vessel Name")</t>
  </si>
  <si>
    <t>=NF($F168,"Vessel Name")</t>
  </si>
  <si>
    <t>=NF($F169,"Vessel Name")</t>
  </si>
  <si>
    <t>=NF($F170,"Vessel Name")</t>
  </si>
  <si>
    <t>=NF($F171,"Vessel Name")</t>
  </si>
  <si>
    <t>=NF($F172,"Vessel Name")</t>
  </si>
  <si>
    <t>=NF($F173,"Vessel Name")</t>
  </si>
  <si>
    <t>=NF($F174,"Vessel Name")</t>
  </si>
  <si>
    <t>=NF($F175,"Vessel Name")</t>
  </si>
  <si>
    <t>=NF($F176,"Vessel Name")</t>
  </si>
  <si>
    <t>=NF($F177,"Vessel Name")</t>
  </si>
  <si>
    <t>=NF($F178,"Vessel Name")</t>
  </si>
  <si>
    <t>=NF($F179,"Vessel Name")</t>
  </si>
  <si>
    <t>=NF($F180,"Vessel Name")</t>
  </si>
  <si>
    <t>=NF($F181,"Vessel Name")</t>
  </si>
  <si>
    <t>=NF($F182,"Vessel Name")</t>
  </si>
  <si>
    <t>=NF($F183,"Vessel Name")</t>
  </si>
  <si>
    <t>=NF($F184,"Vessel Name")</t>
  </si>
  <si>
    <t>=NF($F185,"Vessel Name")</t>
  </si>
  <si>
    <t>=NF($F186,"Vessel Name")</t>
  </si>
  <si>
    <t>=NF($F187,"Vessel Name")</t>
  </si>
  <si>
    <t>=NF($F188,"Vessel Name")</t>
  </si>
  <si>
    <t>=NF($F189,"Vessel Name")</t>
  </si>
  <si>
    <t>=NF($F190,"Vessel Name")</t>
  </si>
  <si>
    <t>=NF($F191,"Vessel Name")</t>
  </si>
  <si>
    <t>=NF($F192,"Vessel Name")</t>
  </si>
  <si>
    <t>=NF($F193,"Vessel Name")</t>
  </si>
  <si>
    <t>=NF($F194,"Vessel Name")</t>
  </si>
  <si>
    <t>=NF($F195,"Vessel Name")</t>
  </si>
  <si>
    <t>=NF($F196,"Vessel Name")</t>
  </si>
  <si>
    <t>=NF($F197,"Vessel Name")</t>
  </si>
  <si>
    <t>=NF($F198,"Vessel Name")</t>
  </si>
  <si>
    <t>=NF($F199,"Vessel Name")</t>
  </si>
  <si>
    <t>=NF($F200,"Vessel Name")</t>
  </si>
  <si>
    <t>=NF($F201,"Vessel Name")</t>
  </si>
  <si>
    <t>=NF($F202,"Vessel Name")</t>
  </si>
  <si>
    <t>=NF($F203,"Vessel Name")</t>
  </si>
  <si>
    <t>=NF($F113,"Voyage No.")</t>
  </si>
  <si>
    <t>=NF($F114,"Voyage No.")</t>
  </si>
  <si>
    <t>=NF($F115,"Voyage No.")</t>
  </si>
  <si>
    <t>=NF($F116,"Voyage No.")</t>
  </si>
  <si>
    <t>=NF($F117,"Voyage No.")</t>
  </si>
  <si>
    <t>=NF($F118,"Voyage No.")</t>
  </si>
  <si>
    <t>=NF($F119,"Voyage No.")</t>
  </si>
  <si>
    <t>=NF($F120,"Voyage No.")</t>
  </si>
  <si>
    <t>=NF($F121,"Voyage No.")</t>
  </si>
  <si>
    <t>=NF($F122,"Voyage No.")</t>
  </si>
  <si>
    <t>=NF($F123,"Voyage No.")</t>
  </si>
  <si>
    <t>=NF($F124,"Voyage No.")</t>
  </si>
  <si>
    <t>=NF($F125,"Voyage No.")</t>
  </si>
  <si>
    <t>=NF($F126,"Voyage No.")</t>
  </si>
  <si>
    <t>=NF($F127,"Voyage No.")</t>
  </si>
  <si>
    <t>=NF($F130,"Voyage No.")</t>
  </si>
  <si>
    <t>=NF($F133,"Voyage No.")</t>
  </si>
  <si>
    <t>=NF($F134,"Voyage No.")</t>
  </si>
  <si>
    <t>=NF($F135,"Voyage No.")</t>
  </si>
  <si>
    <t>=NF($F136,"Voyage No.")</t>
  </si>
  <si>
    <t>=NF($F137,"Voyage No.")</t>
  </si>
  <si>
    <t>=NF($F138,"Voyage No.")</t>
  </si>
  <si>
    <t>=NF($F139,"Voyage No.")</t>
  </si>
  <si>
    <t>=NF($F140,"Voyage No.")</t>
  </si>
  <si>
    <t>=NF($F141,"Voyage No.")</t>
  </si>
  <si>
    <t>=NF($F142,"Voyage No.")</t>
  </si>
  <si>
    <t>=NF($F143,"Voyage No.")</t>
  </si>
  <si>
    <t>=NF($F144,"Voyage No.")</t>
  </si>
  <si>
    <t>=NF($F145,"Voyage No.")</t>
  </si>
  <si>
    <t>=NF($F146,"Voyage No.")</t>
  </si>
  <si>
    <t>=NF($F147,"Voyage No.")</t>
  </si>
  <si>
    <t>=NF($F148,"Voyage No.")</t>
  </si>
  <si>
    <t>=NF($F149,"Voyage No.")</t>
  </si>
  <si>
    <t>=NF($F150,"Voyage No.")</t>
  </si>
  <si>
    <t>=NF($F151,"Voyage No.")</t>
  </si>
  <si>
    <t>=NF($F152,"Voyage No.")</t>
  </si>
  <si>
    <t>=NF($F153,"Voyage No.")</t>
  </si>
  <si>
    <t>=NF($F154,"Voyage No.")</t>
  </si>
  <si>
    <t>=NF($F155,"Voyage No.")</t>
  </si>
  <si>
    <t>=NF($F156,"Voyage No.")</t>
  </si>
  <si>
    <t>=NF($F157,"Voyage No.")</t>
  </si>
  <si>
    <t>=NF($F158,"Voyage No.")</t>
  </si>
  <si>
    <t>=NF($F159,"Voyage No.")</t>
  </si>
  <si>
    <t>=NF($F160,"Voyage No.")</t>
  </si>
  <si>
    <t>=NF($F161,"Voyage No.")</t>
  </si>
  <si>
    <t>=NF($F162,"Voyage No.")</t>
  </si>
  <si>
    <t>=NF($F163,"Voyage No.")</t>
  </si>
  <si>
    <t>=NF($F164,"Voyage No.")</t>
  </si>
  <si>
    <t>=NF($F165,"Voyage No.")</t>
  </si>
  <si>
    <t>=NF($F166,"Voyage No.")</t>
  </si>
  <si>
    <t>=NF($F167,"Voyage No.")</t>
  </si>
  <si>
    <t>=NF($F168,"Voyage No.")</t>
  </si>
  <si>
    <t>=NF($F169,"Voyage No.")</t>
  </si>
  <si>
    <t>=NF($F170,"Voyage No.")</t>
  </si>
  <si>
    <t>=NF($F171,"Voyage No.")</t>
  </si>
  <si>
    <t>=NF($F172,"Voyage No.")</t>
  </si>
  <si>
    <t>=NF($F173,"Voyage No.")</t>
  </si>
  <si>
    <t>=NF($F174,"Voyage No.")</t>
  </si>
  <si>
    <t>=NF($F175,"Voyage No.")</t>
  </si>
  <si>
    <t>=NF($F176,"Voyage No.")</t>
  </si>
  <si>
    <t>=NF($F177,"Voyage No.")</t>
  </si>
  <si>
    <t>=NF($F178,"Voyage No.")</t>
  </si>
  <si>
    <t>=NF($F179,"Voyage No.")</t>
  </si>
  <si>
    <t>=NF($F180,"Voyage No.")</t>
  </si>
  <si>
    <t>=NF($F181,"Voyage No.")</t>
  </si>
  <si>
    <t>=NF($F182,"Voyage No.")</t>
  </si>
  <si>
    <t>=NF($F183,"Voyage No.")</t>
  </si>
  <si>
    <t>=NF($F184,"Voyage No.")</t>
  </si>
  <si>
    <t>=NF($F185,"Voyage No.")</t>
  </si>
  <si>
    <t>=NF($F186,"Voyage No.")</t>
  </si>
  <si>
    <t>=NF($F187,"Voyage No.")</t>
  </si>
  <si>
    <t>=NF($F188,"Voyage No.")</t>
  </si>
  <si>
    <t>=NF($F189,"Voyage No.")</t>
  </si>
  <si>
    <t>=NF($F190,"Voyage No.")</t>
  </si>
  <si>
    <t>=NF($F191,"Voyage No.")</t>
  </si>
  <si>
    <t>=NF($F192,"Voyage No.")</t>
  </si>
  <si>
    <t>=NF($F193,"Voyage No.")</t>
  </si>
  <si>
    <t>=NF($F194,"Voyage No.")</t>
  </si>
  <si>
    <t>=NF($F195,"Voyage No.")</t>
  </si>
  <si>
    <t>=NF($F196,"Voyage No.")</t>
  </si>
  <si>
    <t>=NF($F197,"Voyage No.")</t>
  </si>
  <si>
    <t>=NF($F198,"Voyage No.")</t>
  </si>
  <si>
    <t>=NF($F199,"Voyage No.")</t>
  </si>
  <si>
    <t>=NF($F200,"Voyage No.")</t>
  </si>
  <si>
    <t>=NF($F201,"Voyage No.")</t>
  </si>
  <si>
    <t>=NF($F202,"Voyage No.")</t>
  </si>
  <si>
    <t>=NF($F203,"Voyage No.")</t>
  </si>
  <si>
    <t>=NF($F99,"Arrival Date")</t>
  </si>
  <si>
    <t>=NF($F102,"Arrival Date")</t>
  </si>
  <si>
    <t>=NF($F103,"Arrival Date")</t>
  </si>
  <si>
    <t>=NF($F104,"Arrival Date")</t>
  </si>
  <si>
    <t>=NF($F105,"Arrival Date")</t>
  </si>
  <si>
    <t>=NF($F106,"Arrival Date")</t>
  </si>
  <si>
    <t>=NF($F107,"Arrival Date")</t>
  </si>
  <si>
    <t>=NF($F108,"Arrival Date")</t>
  </si>
  <si>
    <t>=NF($F109,"Arrival Date")</t>
  </si>
  <si>
    <t>=NF($F110,"Arrival Date")</t>
  </si>
  <si>
    <t>=NF($F99,"Vessel Name")</t>
  </si>
  <si>
    <t>=NF($F102,"Vessel Name")</t>
  </si>
  <si>
    <t>=NF($F103,"Vessel Name")</t>
  </si>
  <si>
    <t>=NF($F104,"Vessel Name")</t>
  </si>
  <si>
    <t>=NF($F105,"Vessel Name")</t>
  </si>
  <si>
    <t>=NF($F106,"Vessel Name")</t>
  </si>
  <si>
    <t>=NF($F107,"Vessel Name")</t>
  </si>
  <si>
    <t>=NF($F108,"Vessel Name")</t>
  </si>
  <si>
    <t>=NF($F109,"Vessel Name")</t>
  </si>
  <si>
    <t>=NF($F110,"Vessel Name")</t>
  </si>
  <si>
    <t>=NF($F99,"Voyage No.")</t>
  </si>
  <si>
    <t>=NF($F102,"Voyage No.")</t>
  </si>
  <si>
    <t>=NF($F103,"Voyage No.")</t>
  </si>
  <si>
    <t>=NF($F104,"Voyage No.")</t>
  </si>
  <si>
    <t>=NF($F105,"Voyage No.")</t>
  </si>
  <si>
    <t>=NF($F106,"Voyage No.")</t>
  </si>
  <si>
    <t>=NF($F107,"Voyage No.")</t>
  </si>
  <si>
    <t>=NF($F108,"Voyage No.")</t>
  </si>
  <si>
    <t>=NF($F109,"Voyage No.")</t>
  </si>
  <si>
    <t>=NF($F110,"Voyage No.")</t>
  </si>
  <si>
    <t>=NF($F53,"Arrival Date")</t>
  </si>
  <si>
    <t>=NF($F54,"Arrival Date")</t>
  </si>
  <si>
    <t>=NF($F55,"Arrival Date")</t>
  </si>
  <si>
    <t>=NF($F56,"Arrival Date")</t>
  </si>
  <si>
    <t>=NF($F57,"Arrival Date")</t>
  </si>
  <si>
    <t>=NF($F58,"Arrival Date")</t>
  </si>
  <si>
    <t>=NF($F59,"Arrival Date")</t>
  </si>
  <si>
    <t>=NF($F60,"Arrival Date")</t>
  </si>
  <si>
    <t>=NF($F61,"Arrival Date")</t>
  </si>
  <si>
    <t>=NF($F62,"Arrival Date")</t>
  </si>
  <si>
    <t>=NF($F63,"Arrival Date")</t>
  </si>
  <si>
    <t>=NF($F64,"Arrival Date")</t>
  </si>
  <si>
    <t>=NF($F65,"Arrival Date")</t>
  </si>
  <si>
    <t>=NF($F66,"Arrival Date")</t>
  </si>
  <si>
    <t>=NF($F67,"Arrival Date")</t>
  </si>
  <si>
    <t>=NF($F68,"Arrival Date")</t>
  </si>
  <si>
    <t>=NF($F69,"Arrival Date")</t>
  </si>
  <si>
    <t>=NF($F70,"Arrival Date")</t>
  </si>
  <si>
    <t>=NF($F71,"Arrival Date")</t>
  </si>
  <si>
    <t>=NF($F72,"Arrival Date")</t>
  </si>
  <si>
    <t>=NF($F73,"Arrival Date")</t>
  </si>
  <si>
    <t>=NF($F74,"Arrival Date")</t>
  </si>
  <si>
    <t>=NF($F75,"Arrival Date")</t>
  </si>
  <si>
    <t>=NF($F76,"Arrival Date")</t>
  </si>
  <si>
    <t>=NF($F77,"Arrival Date")</t>
  </si>
  <si>
    <t>=NF($F78,"Arrival Date")</t>
  </si>
  <si>
    <t>=NF($F79,"Arrival Date")</t>
  </si>
  <si>
    <t>=NF($F80,"Arrival Date")</t>
  </si>
  <si>
    <t>=NF($F81,"Arrival Date")</t>
  </si>
  <si>
    <t>=NF($F82,"Arrival Date")</t>
  </si>
  <si>
    <t>=NF($F83,"Arrival Date")</t>
  </si>
  <si>
    <t>=NF($F84,"Arrival Date")</t>
  </si>
  <si>
    <t>=NF($F85,"Arrival Date")</t>
  </si>
  <si>
    <t>=NF($F86,"Arrival Date")</t>
  </si>
  <si>
    <t>=NF($F87,"Arrival Date")</t>
  </si>
  <si>
    <t>=NF($F88,"Arrival Date")</t>
  </si>
  <si>
    <t>=NF($F89,"Arrival Date")</t>
  </si>
  <si>
    <t>=NF($F90,"Arrival Date")</t>
  </si>
  <si>
    <t>=NF($F91,"Arrival Date")</t>
  </si>
  <si>
    <t>=NF($F92,"Arrival Date")</t>
  </si>
  <si>
    <t>=NF($F93,"Arrival Date")</t>
  </si>
  <si>
    <t>=NF($F53,"Vessel Name")</t>
  </si>
  <si>
    <t>=NF($F54,"Vessel Name")</t>
  </si>
  <si>
    <t>=NF($F55,"Vessel Name")</t>
  </si>
  <si>
    <t>=NF($F56,"Vessel Name")</t>
  </si>
  <si>
    <t>=NF($F57,"Vessel Name")</t>
  </si>
  <si>
    <t>=NF($F58,"Vessel Name")</t>
  </si>
  <si>
    <t>=NF($F59,"Vessel Name")</t>
  </si>
  <si>
    <t>=NF($F60,"Vessel Name")</t>
  </si>
  <si>
    <t>=NF($F61,"Vessel Name")</t>
  </si>
  <si>
    <t>=NF($F62,"Vessel Name")</t>
  </si>
  <si>
    <t>=NF($F63,"Vessel Name")</t>
  </si>
  <si>
    <t>=NF($F64,"Vessel Name")</t>
  </si>
  <si>
    <t>=NF($F65,"Vessel Name")</t>
  </si>
  <si>
    <t>=NF($F66,"Vessel Name")</t>
  </si>
  <si>
    <t>=NF($F67,"Vessel Name")</t>
  </si>
  <si>
    <t>=NF($F68,"Vessel Name")</t>
  </si>
  <si>
    <t>=NF($F69,"Vessel Name")</t>
  </si>
  <si>
    <t>=NF($F70,"Vessel Name")</t>
  </si>
  <si>
    <t>=NF($F71,"Vessel Name")</t>
  </si>
  <si>
    <t>=NF($F72,"Vessel Name")</t>
  </si>
  <si>
    <t>=NF($F73,"Vessel Name")</t>
  </si>
  <si>
    <t>=NF($F74,"Vessel Name")</t>
  </si>
  <si>
    <t>=NF($F75,"Vessel Name")</t>
  </si>
  <si>
    <t>=NF($F76,"Vessel Name")</t>
  </si>
  <si>
    <t>=NF($F77,"Vessel Name")</t>
  </si>
  <si>
    <t>=NF($F78,"Vessel Name")</t>
  </si>
  <si>
    <t>=NF($F79,"Vessel Name")</t>
  </si>
  <si>
    <t>=NF($F80,"Vessel Name")</t>
  </si>
  <si>
    <t>=NF($F81,"Vessel Name")</t>
  </si>
  <si>
    <t>=NF($F82,"Vessel Name")</t>
  </si>
  <si>
    <t>=NF($F83,"Vessel Name")</t>
  </si>
  <si>
    <t>=NF($F84,"Vessel Name")</t>
  </si>
  <si>
    <t>=NF($F85,"Vessel Name")</t>
  </si>
  <si>
    <t>=NF($F86,"Vessel Name")</t>
  </si>
  <si>
    <t>=NF($F87,"Vessel Name")</t>
  </si>
  <si>
    <t>=NF($F88,"Vessel Name")</t>
  </si>
  <si>
    <t>=NF($F89,"Vessel Name")</t>
  </si>
  <si>
    <t>=NF($F90,"Vessel Name")</t>
  </si>
  <si>
    <t>=NF($F91,"Vessel Name")</t>
  </si>
  <si>
    <t>=NF($F92,"Vessel Name")</t>
  </si>
  <si>
    <t>=NF($F93,"Vessel Name")</t>
  </si>
  <si>
    <t>=NF($F53,"Voyage No.")</t>
  </si>
  <si>
    <t>=NF($F54,"Voyage No.")</t>
  </si>
  <si>
    <t>=NF($F55,"Voyage No.")</t>
  </si>
  <si>
    <t>=NF($F56,"Voyage No.")</t>
  </si>
  <si>
    <t>=NF($F57,"Voyage No.")</t>
  </si>
  <si>
    <t>=NF($F58,"Voyage No.")</t>
  </si>
  <si>
    <t>=NF($F59,"Voyage No.")</t>
  </si>
  <si>
    <t>=NF($F60,"Voyage No.")</t>
  </si>
  <si>
    <t>=NF($F61,"Voyage No.")</t>
  </si>
  <si>
    <t>=NF($F62,"Voyage No.")</t>
  </si>
  <si>
    <t>=NF($F63,"Voyage No.")</t>
  </si>
  <si>
    <t>=NF($F64,"Voyage No.")</t>
  </si>
  <si>
    <t>=NF($F65,"Voyage No.")</t>
  </si>
  <si>
    <t>=NF($F66,"Voyage No.")</t>
  </si>
  <si>
    <t>=NF($F67,"Voyage No.")</t>
  </si>
  <si>
    <t>=NF($F68,"Voyage No.")</t>
  </si>
  <si>
    <t>=NF($F69,"Voyage No.")</t>
  </si>
  <si>
    <t>=NF($F70,"Voyage No.")</t>
  </si>
  <si>
    <t>=NF($F71,"Voyage No.")</t>
  </si>
  <si>
    <t>=NF($F72,"Voyage No.")</t>
  </si>
  <si>
    <t>=NF($F73,"Voyage No.")</t>
  </si>
  <si>
    <t>=NF($F74,"Voyage No.")</t>
  </si>
  <si>
    <t>=NF($F75,"Voyage No.")</t>
  </si>
  <si>
    <t>=NF($F76,"Voyage No.")</t>
  </si>
  <si>
    <t>=NF($F77,"Voyage No.")</t>
  </si>
  <si>
    <t>=NF($F78,"Voyage No.")</t>
  </si>
  <si>
    <t>=NF($F79,"Voyage No.")</t>
  </si>
  <si>
    <t>=NF($F80,"Voyage No.")</t>
  </si>
  <si>
    <t>=NF($F81,"Voyage No.")</t>
  </si>
  <si>
    <t>=NF($F82,"Voyage No.")</t>
  </si>
  <si>
    <t>=NF($F83,"Voyage No.")</t>
  </si>
  <si>
    <t>=NF($F84,"Voyage No.")</t>
  </si>
  <si>
    <t>=NF($F85,"Voyage No.")</t>
  </si>
  <si>
    <t>=NF($F86,"Voyage No.")</t>
  </si>
  <si>
    <t>=NF($F87,"Voyage No.")</t>
  </si>
  <si>
    <t>=NF($F88,"Voyage No.")</t>
  </si>
  <si>
    <t>=NF($F89,"Voyage No.")</t>
  </si>
  <si>
    <t>=NF($F90,"Voyage No.")</t>
  </si>
  <si>
    <t>=NF($F91,"Voyage No.")</t>
  </si>
  <si>
    <t>=NF($F92,"Voyage No.")</t>
  </si>
  <si>
    <t>=NF($F93,"Voyage No.")</t>
  </si>
  <si>
    <t>Auto+Hide+Values+Formulas=Sheet5,Sheet6+FormulasOnly</t>
  </si>
  <si>
    <t>Auto+Hide+Values+Formulas=Sheet1,Sheet5,Sheet6</t>
  </si>
  <si>
    <t>Auto+Hide+Values+Formulas=Sheet1,Sheet5,Sheet6+FormulasOnly</t>
  </si>
  <si>
    <t>=D93</t>
  </si>
  <si>
    <t>="""BC Live Database"",""Gurrentz"",""50013"",""20"",""EVER"",""1"",""GALA"",""10"",""205"",""40"",""NZ"""</t>
  </si>
  <si>
    <t>=D94</t>
  </si>
  <si>
    <t>="""BC Live Database"",""Gurrentz"",""50013"",""20"",""EVER"",""1"",""SPME"",""10"",""203"",""40"",""NZ"""</t>
  </si>
  <si>
    <t>="""BC Live Database"",""Gurrentz"",""50013"",""20"",""EVER"",""1"",""VEEX"",""10"",""208"",""40"",""NZ"""</t>
  </si>
  <si>
    <t>=E101</t>
  </si>
  <si>
    <t>=NL("Rows","Vessel Schedule",,"Destination Port Name","@@"&amp;$D102,"+Arrival Date","*")</t>
  </si>
  <si>
    <t>="""BC Live Database"",""Gurrentz"",""50013"",""20"",""HOUS"",""1"",""MOTA"",""10"",""148"",""40"",""BR"""</t>
  </si>
  <si>
    <t>="""BC Live Database"",""Gurrentz"",""50013"",""20"",""HOUS"",""1"",""SEPR"",""10"",""001"",""40"",""NI"""</t>
  </si>
  <si>
    <t>=D110</t>
  </si>
  <si>
    <t>=D111</t>
  </si>
  <si>
    <t>="""BC Live Database"",""Gurrentz"",""50013"",""20"",""HOUS"",""1"",""SECA"",""10"",""151"",""40"",""NI"""</t>
  </si>
  <si>
    <t>="""BC Live Database"",""Gurrentz"",""50013"",""20"",""HOUS"",""1"",""MHHA"",""10"",""150"",""40"",""BR"""</t>
  </si>
  <si>
    <t>="""BC Live Database"",""Gurrentz"",""50013"",""20"",""HOUS"",""1"",""MOPA"",""10"",""152"",""40"",""BR"""</t>
  </si>
  <si>
    <t>="""BC Live Database"",""Gurrentz"",""50013"",""20"",""HOUS"",""1"",""ASPA"",""10"",""034"",""40"",""NI"""</t>
  </si>
  <si>
    <t>="""BC Live Database"",""Gurrentz"",""50013"",""20"",""HOUS"",""1"","""",""10"",""202"",""40"",""NI"""</t>
  </si>
  <si>
    <t>="""BC Live Database"",""Gurrentz"",""50013"",""20"",""HOUS"",""1"",""SECA"",""10"",""202"",""40"",""NI"""</t>
  </si>
  <si>
    <t>="""BC Live Database"",""Gurrentz"",""50013"",""20"",""HOUS"",""1"",""GALL"",""10"",""203"",""40"",""NI"""</t>
  </si>
  <si>
    <t>="""BC Live Database"",""Gurrentz"",""50013"",""20"",""HOUS"",""1"",""TOLT"",""10"",""148"",""40"",""BR"""</t>
  </si>
  <si>
    <t>="""BC Live Database"",""Gurrentz"",""50013"",""20"",""HOUS"",""1"",""TOLT"",""10"",""2148"",""40"",""BR"""</t>
  </si>
  <si>
    <t>="""BC Live Database"",""Gurrentz"",""50013"",""20"",""HOUS"",""1"",""MSYU"",""10"",""204"",""40"",""NI"""</t>
  </si>
  <si>
    <t>="""BC Live Database"",""Gurrentz"",""50013"",""20"",""HOUS"",""1"",""MATD"",""10"",""149"",""40"",""BR"""</t>
  </si>
  <si>
    <t>="""BC Live Database"",""Gurrentz"",""50013"",""20"",""HOUS"",""1"",""SECA"",""10"",""205"",""40"",""NI"""</t>
  </si>
  <si>
    <t>="""BC Live Database"",""Gurrentz"",""50013"",""20"",""HOUS"",""1"",""SEPR"",""10"",""103"",""40"",""NI"""</t>
  </si>
  <si>
    <t>="""BC Live Database"",""Gurrentz"",""50013"",""20"",""LOSA"",""1"",""TAVV"",""10"",""145"",""40"",""BR"""</t>
  </si>
  <si>
    <t>="""BC Live Database"",""Gurrentz"",""50013"",""20"",""LOSA"",""1"",""MANO"",""10"",""149"",""40"",""BR"""</t>
  </si>
  <si>
    <t>="""BC Live Database"",""Gurrentz"",""50013"",""20"",""LOSA"",""1"",""MSNI"",""10"",""144"",""40"",""BR"""</t>
  </si>
  <si>
    <t>="""BC Live Database"",""Gurrentz"",""50013"",""20"",""LOSA"",""1"",""SPSH"",""10"",""149"",""40"",""NZ"""</t>
  </si>
  <si>
    <t>="""BC Live Database"",""Gurrentz"",""50013"",""20"",""LOSA"",""1"",""CMAM"",""10"",""01"",""40"",""AU"""</t>
  </si>
  <si>
    <t>="""BC Live Database"",""Gurrentz"",""50013"",""20"",""LOSA"",""1"",""MANO"",""10"",""041"",""40"",""NI"""</t>
  </si>
  <si>
    <t>="""BC Live Database"",""Gurrentz"",""50013"",""20"",""LOSA"",""1"",""CAJU"",""10"",""148"",""40"",""NZ"""</t>
  </si>
  <si>
    <t>="""BC Live Database"",""Gurrentz"",""50013"",""20"",""LOSA"",""1"",""MSGA"",""10"",""145"",""40"",""BR"""</t>
  </si>
  <si>
    <t>="""BC Live Database"",""Gurrentz"",""50013"",""20"",""LOSA"",""1"",""BALAO"",""10"",""315"",""40"",""NI"""</t>
  </si>
  <si>
    <t>="""BC Live Database"",""Gurrentz"",""50013"",""20"",""LOSA"",""1"",""WILL"",""10"",""124"",""40"",""AU"""</t>
  </si>
  <si>
    <t>="""BC Live Database"",""Gurrentz"",""50013"",""20"",""LOSA"",""1"",""PARA"",""10"",""151"",""40"",""BR"""</t>
  </si>
  <si>
    <t>=D203</t>
  </si>
  <si>
    <t>=D204</t>
  </si>
  <si>
    <t>="""BC Live Database"",""Gurrentz"",""50013"",""20"",""LOSA"",""1"",""MSYA"",""10"",""148"",""40"",""BR"""</t>
  </si>
  <si>
    <t>="""BC Live Database"",""Gurrentz"",""50013"",""20"",""LOSA"",""1"","""",""10"",""158"",""40"",""NI"""</t>
  </si>
  <si>
    <t>="""BC Live Database"",""Gurrentz"",""50013"",""20"",""LOSA"",""1"",""PHOE"",""10"",""151"",""40"",""BR"""</t>
  </si>
  <si>
    <t>="""BC Live Database"",""Gurrentz"",""50013"",""20"",""LOSA"",""1"",""CMLE"",""10"",""001"",""40"",""AU"""</t>
  </si>
  <si>
    <t>="""BC Live Database"",""Gurrentz"",""50013"",""20"",""LOSA"",""1"",""SEMA"",""10"",""001"",""40"",""NI"""</t>
  </si>
  <si>
    <t>="""BC Live Database"",""Gurrentz"",""50013"",""20"",""LOSA"",""1"",""MNOA"",""10"",""152"",""40"",""BR"""</t>
  </si>
  <si>
    <t>="""BC Live Database"",""Gurrentz"",""50013"",""20"",""LOSA"",""1"",""JOAN"",""10"",""158"",""40"",""NI"""</t>
  </si>
  <si>
    <t>="""BC Live Database"",""Gurrentz"",""50013"",""20"",""LOSA"",""1"",""MAAN"",""10"",""150"",""40"",""NZ"""</t>
  </si>
  <si>
    <t>="""BC Live Database"",""Gurrentz"",""50013"",""20"",""LOSA"",""1"",""MANO"",""10"",""207"",""40"",""BR"""</t>
  </si>
  <si>
    <t>="""BC Live Database"",""Gurrentz"",""50013"",""20"",""LOSA"",""1"",""HELLA"",""10"",""150"",""40"",""BR"""</t>
  </si>
  <si>
    <t>="""BC Live Database"",""Gurrentz"",""50013"",""20"",""LOSA"",""1"",""MATD"",""10"",""149"",""40"",""BR"""</t>
  </si>
  <si>
    <t>="""BC Live Database"",""Gurrentz"",""50013"",""20"",""LOSA"",""1"",""MNOA"",""10"",""201"",""40"",""BR"""</t>
  </si>
  <si>
    <t>="""BC Live Database"",""Gurrentz"",""50013"",""20"",""LOSA"",""1"",""STWB"",""10"",""207"",""40"",""BR"""</t>
  </si>
  <si>
    <t>="""BC Live Database"",""Gurrentz"",""50013"",""20"",""LOSA"",""1"",""LUTE"",""10"",""204"",""40"",""BR"""</t>
  </si>
  <si>
    <t>="""BC Live Database"",""Gurrentz"",""50013"",""20"",""LOSA"",""1"",""MANO"",""10"",""209"",""40"",""BR"""</t>
  </si>
  <si>
    <t>="""BC Live Database"",""Gurrentz"",""50013"",""20"",""LOSA"",""1"",""CADI"",""10"",""203"",""40"",""BR"""</t>
  </si>
  <si>
    <t>="""BC Live Database"",""Gurrentz"",""50013"",""20"",""LOSA"",""1"",""CCAL"",""10"",""011"",""40"",""AU"""</t>
  </si>
  <si>
    <t>="""BC Live Database"",""Gurrentz"",""50013"",""20"",""LOSA"",""1"",""BOPR"",""10"",""202"",""40"",""BR"""</t>
  </si>
  <si>
    <t>=D235</t>
  </si>
  <si>
    <t>="""BC Live Database"",""Gurrentz"",""50013"",""20"",""LOSA"",""1"","""",""10"",""614"",""40"",""NI"""</t>
  </si>
  <si>
    <t>=D236</t>
  </si>
  <si>
    <t>="""BC Live Database"",""Gurrentz"",""50013"",""20"",""LOSA"",""1"",""MOPA"",""10"",""205"",""40"",""BR"""</t>
  </si>
  <si>
    <t>="""BC Live Database"",""Gurrentz"",""50013"",""20"",""LOSA"",""1"",""NYLA"",""10"",""614"",""40"",""NI"""</t>
  </si>
  <si>
    <t>="""BC Live Database"",""Gurrentz"",""50013"",""20"",""LOSA"",""1"",""SEEX"",""10"",""275"",""40"",""BR"""</t>
  </si>
  <si>
    <t>="""BC Live Database"",""Gurrentz"",""50013"",""20"",""LOSA"",""1"",""XIXM"",""10"",""095"",""40"",""AU"""</t>
  </si>
  <si>
    <t>="""BC Live Database"",""Gurrentz"",""50013"",""20"",""LOSA"",""1"",""MJEO"",""10"",""204"",""40"",""BR"""</t>
  </si>
  <si>
    <t>="""BC Live Database"",""Gurrentz"",""50013"",""20"",""LOSA"",""1"",""CCORE"",""10"",""001"",""40"",""AU"""</t>
  </si>
  <si>
    <t>="""BC Live Database"",""Gurrentz"",""50013"",""20"",""LOSA"",""1"",""MHHA"",""10"",""206"",""40"",""BR"""</t>
  </si>
  <si>
    <t>="""BC Live Database"",""Gurrentz"",""50013"",""20"",""LOSA"",""1"",""ROST"",""10"",""151"",""40"",""BR"""</t>
  </si>
  <si>
    <t>="""BC Live Database"",""Gurrentz"",""50013"",""20"",""LOSA"",""1"",""MSVI"",""10"",""205"",""40"",""BR"""</t>
  </si>
  <si>
    <t>="""BC Live Database"",""Gurrentz"",""50013"",""20"",""LOSA"",""1"",""ACON"",""10"",""207"",""40"",""BR"""</t>
  </si>
  <si>
    <t>="""BC Live Database"",""Gurrentz"",""50013"",""20"",""LOSA"",""1"",""SYAN"",""10"",""088"",""40"",""BR"""</t>
  </si>
  <si>
    <t>=D398</t>
  </si>
  <si>
    <t>=D399</t>
  </si>
  <si>
    <t>="""BC Live Database"",""Gurrentz"",""50013"",""20"",""PHIL"",""1"",""SAAL"",""10"",""151"",""40"",""NI"""</t>
  </si>
  <si>
    <t>="""BC Live Database"",""Gurrentz"",""50013"",""20"",""PHIL"",""1"",""NORD"",""10"",""1542"",""40"",""AU"""</t>
  </si>
  <si>
    <t>="""BC Live Database"",""Gurrentz"",""50013"",""20"",""PHIL"",""1"",""NORD"",""10"",""1542"",""40"",""NZ"""</t>
  </si>
  <si>
    <t>="""BC Live Database"",""Gurrentz"",""50013"",""20"",""PHIL"",""1"",""GRFO"",""10"",""49"",""40"",""NI"""</t>
  </si>
  <si>
    <t>="""BC Live Database"",""Gurrentz"",""50013"",""20"",""PHIL"",""1"",""SANA"",""10"",""152"",""40"",""NI"""</t>
  </si>
  <si>
    <t>="""BC Live Database"",""Gurrentz"",""50013"",""20"",""PHIL"",""1"",""OLIM"",""10"",""148"",""40"",""BR"""</t>
  </si>
  <si>
    <t>="""BC Live Database"",""Gurrentz"",""50013"",""20"",""PHIL"",""1"",""DUEX"",""10"",""150"",""40"",""UY"""</t>
  </si>
  <si>
    <t>=D431</t>
  </si>
  <si>
    <t>="""BC Live Database"",""Gurrentz"",""50013"",""20"",""PHIL"",""1"",""ARTE"",""10"",""149"",""40"",""BR"""</t>
  </si>
  <si>
    <t>=D432</t>
  </si>
  <si>
    <t>="""BC Live Database"",""Gurrentz"",""50013"",""20"",""PHIL"",""1"",""GALA"",""10"",""201"",""40"",""NI"""</t>
  </si>
  <si>
    <t>="""BC Live Database"",""Gurrentz"",""50013"",""20"",""PHIL"",""1"",""PARA"",""10"",""151"",""40"",""BR"""</t>
  </si>
  <si>
    <t>="""BC Live Database"",""Gurrentz"",""50013"",""20"",""PHIL"",""1"",""MSOL"",""10"",""202"",""40"",""AR"""</t>
  </si>
  <si>
    <t>="""BC Live Database"",""Gurrentz"",""50013"",""20"",""PHIL"",""1"",""HASA"",""10"",""202"",""40"",""NI"""</t>
  </si>
  <si>
    <t>="""BC Live Database"",""Gurrentz"",""50013"",""20"",""PHIL"",""1"",""NOMJ"",""10"",""151"",""40"",""BR"""</t>
  </si>
  <si>
    <t>="""BC Live Database"",""Gurrentz"",""50013"",""20"",""PHIL"",""1"",""SABA"",""10"",""150"",""40"",""BR"""</t>
  </si>
  <si>
    <t>="""BC Live Database"",""Gurrentz"",""50013"",""20"",""PHIL"",""1"",""NICO"",""10"",""151"",""40"",""BR"""</t>
  </si>
  <si>
    <t>="""BC Live Database"",""Gurrentz"",""50013"",""20"",""PHIL"",""1"",""ALEGRE"",""10"",""152"",""40"",""BR"""</t>
  </si>
  <si>
    <t>="""BC Live Database"",""Gurrentz"",""50013"",""20"",""PHIL"",""1"",""ALEGRE"",""10"",""152"",""40"",""UY"""</t>
  </si>
  <si>
    <t>="""BC Live Database"",""Gurrentz"",""50013"",""20"",""PHIL"",""1"",""SAAL"",""10"",""203"",""40"",""NI"""</t>
  </si>
  <si>
    <t>="""BC Live Database"",""Gurrentz"",""50013"",""20"",""PHIL"",""1"",""SPSY"",""10"",""151"",""40"",""BR"""</t>
  </si>
  <si>
    <t>=D452</t>
  </si>
  <si>
    <t>=D453</t>
  </si>
  <si>
    <t>=D454</t>
  </si>
  <si>
    <t>="""BC Live Database"",""Gurrentz"",""50013"",""20"",""PHIL"",""1"",""SANA"",""10"",""240"",""40"",""NI"""</t>
  </si>
  <si>
    <t>=D455</t>
  </si>
  <si>
    <t>="""BC Live Database"",""Gurrentz"",""50013"",""20"",""PHIL"",""1"",""MATD"",""10"",""149"",""40"",""BR"""</t>
  </si>
  <si>
    <t>=D456</t>
  </si>
  <si>
    <t>="""BC Live Database"",""Gurrentz"",""50013"",""20"",""PHIL"",""1"",""OLFM"",""10"",""152"",""40"",""AR"""</t>
  </si>
  <si>
    <t>=D457</t>
  </si>
  <si>
    <t>=D458</t>
  </si>
  <si>
    <t>=D459</t>
  </si>
  <si>
    <t>="""BC Live Database"",""Gurrentz"",""50013"",""20"",""PHIL"",""1"",""MAIP"",""10"",""202"",""40"",""UY"""</t>
  </si>
  <si>
    <t>=D460</t>
  </si>
  <si>
    <t>="""BC Live Database"",""Gurrentz"",""50013"",""20"",""PHIL"",""1"",""CSMA"",""10"",""201"",""40"",""UY"""</t>
  </si>
  <si>
    <t>=D461</t>
  </si>
  <si>
    <t>="""BC Live Database"",""Gurrentz"",""50013"",""20"",""PHIL"",""1"",""GALA"",""10"",""205"",""40"",""NI"""</t>
  </si>
  <si>
    <t>=D462</t>
  </si>
  <si>
    <t>="""BC Live Database"",""Gurrentz"",""50013"",""20"",""PHIL"",""1"",""HELLA"",""10"",""150"",""40"",""BR"""</t>
  </si>
  <si>
    <t>=D463</t>
  </si>
  <si>
    <t>=D464</t>
  </si>
  <si>
    <t>=D465</t>
  </si>
  <si>
    <t>="""BC Live Database"",""Gurrentz"",""50013"",""20"",""PHIL"",""1"",""SPHA"",""10"",""201"",""40"",""BR"""</t>
  </si>
  <si>
    <t>=D466</t>
  </si>
  <si>
    <t>="""BC Live Database"",""Gurrentz"",""50013"",""20"",""PHIL"",""1"",""AGDI"",""10"",""152"",""40"",""UY"""</t>
  </si>
  <si>
    <t>=D467</t>
  </si>
  <si>
    <t>="""BC Live Database"",""Gurrentz"",""50013"",""20"",""PHIL"",""1"",""MSCE"",""10"",""205"",""40"",""UY"""</t>
  </si>
  <si>
    <t>=D468</t>
  </si>
  <si>
    <t>="""BC Live Database"",""Gurrentz"",""50013"",""20"",""PHIL"",""1"",""MSOL"",""10"",""206"",""40"",""BR"""</t>
  </si>
  <si>
    <t>=D469</t>
  </si>
  <si>
    <t>=D470</t>
  </si>
  <si>
    <t>=D471</t>
  </si>
  <si>
    <t>="""BC Live Database"",""Gurrentz"",""50013"",""20"",""PHIL"",""1"",""MOAZ"",""10"",""203"",""40"",""BR"""</t>
  </si>
  <si>
    <t>=D472</t>
  </si>
  <si>
    <t>="""BC Live Database"",""Gurrentz"",""50013"",""20"",""PHIL"",""1"",""MSDA"",""10"",""202"",""40"",""BR"""</t>
  </si>
  <si>
    <t>=D473</t>
  </si>
  <si>
    <t>="""BC Live Database"",""Gurrentz"",""50013"",""20"",""PHIL"",""1"",""HASA"",""10"",""206"",""40"",""NI"""</t>
  </si>
  <si>
    <t>=D474</t>
  </si>
  <si>
    <t>=D475</t>
  </si>
  <si>
    <t>=D476</t>
  </si>
  <si>
    <t>="""BC Live Database"",""Gurrentz"",""50013"",""20"",""PHIL"",""1"",""MOVE"",""10"",""204"",""40"",""BR"""</t>
  </si>
  <si>
    <t>=D477</t>
  </si>
  <si>
    <t>="""BC Live Database"",""Gurrentz"",""50013"",""20"",""PHIL"",""1"",""TAWI"",""10"",""203"",""40"",""UY"""</t>
  </si>
  <si>
    <t>=D478</t>
  </si>
  <si>
    <t>="""BC Live Database"",""Gurrentz"",""50013"",""20"",""PHIL"",""1"",""GRST"",""10"",""53"",""40"",""NI"""</t>
  </si>
  <si>
    <t>=D479</t>
  </si>
  <si>
    <t>="""BC Live Database"",""Gurrentz"",""50013"",""20"",""PHIL"",""1"",""SAAL"",""10"",""207"",""40"",""NI"""</t>
  </si>
  <si>
    <t>=D480</t>
  </si>
  <si>
    <t>=D481</t>
  </si>
  <si>
    <t>=D482</t>
  </si>
  <si>
    <t>="""BC Live Database"",""Gurrentz"",""50013"",""20"",""PHIL"",""1"",""MSVI"",""10"",""205"",""40"",""AR"""</t>
  </si>
  <si>
    <t>=D483</t>
  </si>
  <si>
    <t>=D484</t>
  </si>
  <si>
    <t>=D485</t>
  </si>
  <si>
    <t>="""BC Live Database"",""Gurrentz"",""50013"",""20"",""PHIL"",""1"",""DUEX"",""10"",""205"",""40"",""BR"""</t>
  </si>
  <si>
    <t>=D486</t>
  </si>
  <si>
    <t>=D487</t>
  </si>
  <si>
    <t>=D488</t>
  </si>
  <si>
    <t>="""BC Live Database"",""Gurrentz"",""50013"",""20"",""PHIL"",""1"",""BOPR"",""10"",""202"",""40"",""BR"""</t>
  </si>
  <si>
    <t>=D489</t>
  </si>
  <si>
    <t>="""BC Live Database"",""Gurrentz"",""50013"",""20"",""PHIL"",""1"",""MBAR"",""10"",""204"",""40"",""BR"""</t>
  </si>
  <si>
    <t>=D490</t>
  </si>
  <si>
    <t>="""BC Live Database"",""Gurrentz"",""50013"",""20"",""PHIL"",""1"",""MOOL"",""10"",""206"",""40"",""UY"""</t>
  </si>
  <si>
    <t>=D491</t>
  </si>
  <si>
    <t>=D492</t>
  </si>
  <si>
    <t>=D493</t>
  </si>
  <si>
    <t>=D494</t>
  </si>
  <si>
    <t>=D495</t>
  </si>
  <si>
    <t>=D496</t>
  </si>
  <si>
    <t>=D497</t>
  </si>
  <si>
    <t>="""BC Live Database"",""Gurrentz"",""50013"",""20"",""PHIL"",""1"",""OLIM"",""10"",""207"",""40"",""AU"""</t>
  </si>
  <si>
    <t>=D498</t>
  </si>
  <si>
    <t>="""BC Live Database"",""Gurrentz"",""50013"",""20"",""PHIL"",""1"",""OLIM"",""10"",""207"",""40"",""NZ"""</t>
  </si>
  <si>
    <t>=D499</t>
  </si>
  <si>
    <t>=D500</t>
  </si>
  <si>
    <t>=D501</t>
  </si>
  <si>
    <t>="""BC Live Database"",""Gurrentz"",""50013"",""20"",""PHIL"",""1"",""BOSP"",""10"",""210"",""40"",""BR"""</t>
  </si>
  <si>
    <t>=D504</t>
  </si>
  <si>
    <t>=D505</t>
  </si>
  <si>
    <t>=D506</t>
  </si>
  <si>
    <t>=D507</t>
  </si>
  <si>
    <t>=D508</t>
  </si>
  <si>
    <t>=D509</t>
  </si>
  <si>
    <t>=D510</t>
  </si>
  <si>
    <t>=D511</t>
  </si>
  <si>
    <t>=D512</t>
  </si>
  <si>
    <t>=D513</t>
  </si>
  <si>
    <t>=D514</t>
  </si>
  <si>
    <t>=D515</t>
  </si>
  <si>
    <t>=D518</t>
  </si>
  <si>
    <t>=D519</t>
  </si>
  <si>
    <t>=D520</t>
  </si>
  <si>
    <t>=D521</t>
  </si>
  <si>
    <t>=D522</t>
  </si>
  <si>
    <t>="""BC Live Database"",""Gurrentz"",""50013"",""20"",""SAVA"",""1"",""ASSA"",""10"",""061"",""40"",""NI"""</t>
  </si>
  <si>
    <t>=D523</t>
  </si>
  <si>
    <t>=D524</t>
  </si>
  <si>
    <t>=D525</t>
  </si>
  <si>
    <t>=D526</t>
  </si>
  <si>
    <t>=D527</t>
  </si>
  <si>
    <t>="""BC Live Database"",""Gurrentz"",""50013"",""20"",""SAVA"",""1"",""SANA"",""10"",""204"",""40"",""NI"""</t>
  </si>
  <si>
    <t>=D528</t>
  </si>
  <si>
    <t>=D529</t>
  </si>
  <si>
    <t>=D530</t>
  </si>
  <si>
    <t>="""BC Live Database"",""Gurrentz"",""50013"",""20"",""SAVA"",""1"",""GALA"",""10"",""205"",""40"",""NI"""</t>
  </si>
  <si>
    <t>=D531</t>
  </si>
  <si>
    <t>=D532</t>
  </si>
  <si>
    <t>=D533</t>
  </si>
  <si>
    <t>=D534</t>
  </si>
  <si>
    <t>=D535</t>
  </si>
  <si>
    <t>=D536</t>
  </si>
  <si>
    <t>=D539</t>
  </si>
  <si>
    <t>=D540</t>
  </si>
  <si>
    <t>=D541</t>
  </si>
  <si>
    <t>=D542</t>
  </si>
  <si>
    <t>=D543</t>
  </si>
  <si>
    <t>=D544</t>
  </si>
  <si>
    <t>=D545</t>
  </si>
  <si>
    <t>=D546</t>
  </si>
  <si>
    <t>=D547</t>
  </si>
  <si>
    <t>=D548</t>
  </si>
  <si>
    <t>=D549</t>
  </si>
  <si>
    <t>=D550</t>
  </si>
  <si>
    <t>=D553</t>
  </si>
  <si>
    <t>=D554</t>
  </si>
  <si>
    <t>=D555</t>
  </si>
  <si>
    <t>=D556</t>
  </si>
  <si>
    <t>=D557</t>
  </si>
  <si>
    <t>=NF($F540,"Arrival Date")</t>
  </si>
  <si>
    <t>=NF($F541,"Arrival Date")</t>
  </si>
  <si>
    <t>=NF($F542,"Arrival Date")</t>
  </si>
  <si>
    <t>=NF($F543,"Arrival Date")</t>
  </si>
  <si>
    <t>=NF($F544,"Arrival Date")</t>
  </si>
  <si>
    <t>=NF($F545,"Arrival Date")</t>
  </si>
  <si>
    <t>=NF($F546,"Arrival Date")</t>
  </si>
  <si>
    <t>=NF($F547,"Arrival Date")</t>
  </si>
  <si>
    <t>=NF($F548,"Arrival Date")</t>
  </si>
  <si>
    <t>=NF($F549,"Arrival Date")</t>
  </si>
  <si>
    <t>=NF($F550,"Arrival Date")</t>
  </si>
  <si>
    <t>=NF($F551,"Arrival Date")</t>
  </si>
  <si>
    <t>=NF($F554,"Arrival Date")</t>
  </si>
  <si>
    <t>=NF($F555,"Arrival Date")</t>
  </si>
  <si>
    <t>=NF($F556,"Arrival Date")</t>
  </si>
  <si>
    <t>=NF($F557,"Arrival Date")</t>
  </si>
  <si>
    <t>=NF($F558,"Arrival Date")</t>
  </si>
  <si>
    <t>=NF($F540,"Vessel Name")</t>
  </si>
  <si>
    <t>=NF($F541,"Vessel Name")</t>
  </si>
  <si>
    <t>=NF($F542,"Vessel Name")</t>
  </si>
  <si>
    <t>=NF($F543,"Vessel Name")</t>
  </si>
  <si>
    <t>=NF($F544,"Vessel Name")</t>
  </si>
  <si>
    <t>=NF($F545,"Vessel Name")</t>
  </si>
  <si>
    <t>=NF($F546,"Vessel Name")</t>
  </si>
  <si>
    <t>=NF($F547,"Vessel Name")</t>
  </si>
  <si>
    <t>=NF($F548,"Vessel Name")</t>
  </si>
  <si>
    <t>=NF($F549,"Vessel Name")</t>
  </si>
  <si>
    <t>=NF($F550,"Vessel Name")</t>
  </si>
  <si>
    <t>=NF($F551,"Vessel Name")</t>
  </si>
  <si>
    <t>=NF($F554,"Vessel Name")</t>
  </si>
  <si>
    <t>=NF($F555,"Vessel Name")</t>
  </si>
  <si>
    <t>=NF($F556,"Vessel Name")</t>
  </si>
  <si>
    <t>=NF($F557,"Vessel Name")</t>
  </si>
  <si>
    <t>=NF($F558,"Vessel Name")</t>
  </si>
  <si>
    <t>=NF($F540,"Voyage No.")</t>
  </si>
  <si>
    <t>=NF($F541,"Voyage No.")</t>
  </si>
  <si>
    <t>=NF($F542,"Voyage No.")</t>
  </si>
  <si>
    <t>=NF($F543,"Voyage No.")</t>
  </si>
  <si>
    <t>=NF($F544,"Voyage No.")</t>
  </si>
  <si>
    <t>=NF($F545,"Voyage No.")</t>
  </si>
  <si>
    <t>=NF($F546,"Voyage No.")</t>
  </si>
  <si>
    <t>=NF($F547,"Voyage No.")</t>
  </si>
  <si>
    <t>=NF($F548,"Voyage No.")</t>
  </si>
  <si>
    <t>=NF($F549,"Voyage No.")</t>
  </si>
  <si>
    <t>=NF($F550,"Voyage No.")</t>
  </si>
  <si>
    <t>=NF($F551,"Voyage No.")</t>
  </si>
  <si>
    <t>=NF($F554,"Voyage No.")</t>
  </si>
  <si>
    <t>=NF($F555,"Voyage No.")</t>
  </si>
  <si>
    <t>=NF($F556,"Voyage No.")</t>
  </si>
  <si>
    <t>=NF($F557,"Voyage No.")</t>
  </si>
  <si>
    <t>=NF($F558,"Voyage No.")</t>
  </si>
  <si>
    <t>=NF($F505,"Arrival Date")</t>
  </si>
  <si>
    <t>=NF($F506,"Arrival Date")</t>
  </si>
  <si>
    <t>=NF($F507,"Arrival Date")</t>
  </si>
  <si>
    <t>=NF($F508,"Arrival Date")</t>
  </si>
  <si>
    <t>=NF($F509,"Arrival Date")</t>
  </si>
  <si>
    <t>=NF($F510,"Arrival Date")</t>
  </si>
  <si>
    <t>=NF($F511,"Arrival Date")</t>
  </si>
  <si>
    <t>=NF($F512,"Arrival Date")</t>
  </si>
  <si>
    <t>=NF($F513,"Arrival Date")</t>
  </si>
  <si>
    <t>=NF($F514,"Arrival Date")</t>
  </si>
  <si>
    <t>=NF($F515,"Arrival Date")</t>
  </si>
  <si>
    <t>=NF($F516,"Arrival Date")</t>
  </si>
  <si>
    <t>=NF($F519,"Arrival Date")</t>
  </si>
  <si>
    <t>=NF($F520,"Arrival Date")</t>
  </si>
  <si>
    <t>=NF($F521,"Arrival Date")</t>
  </si>
  <si>
    <t>=NF($F522,"Arrival Date")</t>
  </si>
  <si>
    <t>=NF($F523,"Arrival Date")</t>
  </si>
  <si>
    <t>=NF($F524,"Arrival Date")</t>
  </si>
  <si>
    <t>=NF($F525,"Arrival Date")</t>
  </si>
  <si>
    <t>=NF($F526,"Arrival Date")</t>
  </si>
  <si>
    <t>=NF($F527,"Arrival Date")</t>
  </si>
  <si>
    <t>=NF($F528,"Arrival Date")</t>
  </si>
  <si>
    <t>=NF($F529,"Arrival Date")</t>
  </si>
  <si>
    <t>=NF($F530,"Arrival Date")</t>
  </si>
  <si>
    <t>=NF($F531,"Arrival Date")</t>
  </si>
  <si>
    <t>=NF($F532,"Arrival Date")</t>
  </si>
  <si>
    <t>=NF($F533,"Arrival Date")</t>
  </si>
  <si>
    <t>=NF($F534,"Arrival Date")</t>
  </si>
  <si>
    <t>=NF($F535,"Arrival Date")</t>
  </si>
  <si>
    <t>=NF($F536,"Arrival Date")</t>
  </si>
  <si>
    <t>=NF($F537,"Arrival Date")</t>
  </si>
  <si>
    <t>=NF($F505,"Vessel Name")</t>
  </si>
  <si>
    <t>=NF($F506,"Vessel Name")</t>
  </si>
  <si>
    <t>=NF($F507,"Vessel Name")</t>
  </si>
  <si>
    <t>=NF($F508,"Vessel Name")</t>
  </si>
  <si>
    <t>=NF($F509,"Vessel Name")</t>
  </si>
  <si>
    <t>=NF($F510,"Vessel Name")</t>
  </si>
  <si>
    <t>=NF($F511,"Vessel Name")</t>
  </si>
  <si>
    <t>=NF($F512,"Vessel Name")</t>
  </si>
  <si>
    <t>=NF($F513,"Vessel Name")</t>
  </si>
  <si>
    <t>=NF($F514,"Vessel Name")</t>
  </si>
  <si>
    <t>=NF($F515,"Vessel Name")</t>
  </si>
  <si>
    <t>=NF($F516,"Vessel Name")</t>
  </si>
  <si>
    <t>=NF($F519,"Vessel Name")</t>
  </si>
  <si>
    <t>=NF($F520,"Vessel Name")</t>
  </si>
  <si>
    <t>=NF($F521,"Vessel Name")</t>
  </si>
  <si>
    <t>=NF($F522,"Vessel Name")</t>
  </si>
  <si>
    <t>=NF($F523,"Vessel Name")</t>
  </si>
  <si>
    <t>=NF($F524,"Vessel Name")</t>
  </si>
  <si>
    <t>=NF($F525,"Vessel Name")</t>
  </si>
  <si>
    <t>=NF($F526,"Vessel Name")</t>
  </si>
  <si>
    <t>=NF($F527,"Vessel Name")</t>
  </si>
  <si>
    <t>=NF($F528,"Vessel Name")</t>
  </si>
  <si>
    <t>=NF($F529,"Vessel Name")</t>
  </si>
  <si>
    <t>=NF($F530,"Vessel Name")</t>
  </si>
  <si>
    <t>=NF($F531,"Vessel Name")</t>
  </si>
  <si>
    <t>=NF($F532,"Vessel Name")</t>
  </si>
  <si>
    <t>=NF($F533,"Vessel Name")</t>
  </si>
  <si>
    <t>=NF($F534,"Vessel Name")</t>
  </si>
  <si>
    <t>=NF($F535,"Vessel Name")</t>
  </si>
  <si>
    <t>=NF($F536,"Vessel Name")</t>
  </si>
  <si>
    <t>=NF($F537,"Vessel Name")</t>
  </si>
  <si>
    <t>=NF($F505,"Voyage No.")</t>
  </si>
  <si>
    <t>=NF($F506,"Voyage No.")</t>
  </si>
  <si>
    <t>=NF($F507,"Voyage No.")</t>
  </si>
  <si>
    <t>=NF($F508,"Voyage No.")</t>
  </si>
  <si>
    <t>=NF($F509,"Voyage No.")</t>
  </si>
  <si>
    <t>=NF($F510,"Voyage No.")</t>
  </si>
  <si>
    <t>=NF($F511,"Voyage No.")</t>
  </si>
  <si>
    <t>=NF($F512,"Voyage No.")</t>
  </si>
  <si>
    <t>=NF($F513,"Voyage No.")</t>
  </si>
  <si>
    <t>=NF($F514,"Voyage No.")</t>
  </si>
  <si>
    <t>=NF($F515,"Voyage No.")</t>
  </si>
  <si>
    <t>=NF($F516,"Voyage No.")</t>
  </si>
  <si>
    <t>=NF($F519,"Voyage No.")</t>
  </si>
  <si>
    <t>=NF($F520,"Voyage No.")</t>
  </si>
  <si>
    <t>=NF($F521,"Voyage No.")</t>
  </si>
  <si>
    <t>=NF($F522,"Voyage No.")</t>
  </si>
  <si>
    <t>=NF($F523,"Voyage No.")</t>
  </si>
  <si>
    <t>=NF($F524,"Voyage No.")</t>
  </si>
  <si>
    <t>=NF($F525,"Voyage No.")</t>
  </si>
  <si>
    <t>=NF($F526,"Voyage No.")</t>
  </si>
  <si>
    <t>=NF($F527,"Voyage No.")</t>
  </si>
  <si>
    <t>=NF($F528,"Voyage No.")</t>
  </si>
  <si>
    <t>=NF($F529,"Voyage No.")</t>
  </si>
  <si>
    <t>=NF($F530,"Voyage No.")</t>
  </si>
  <si>
    <t>=NF($F531,"Voyage No.")</t>
  </si>
  <si>
    <t>=NF($F532,"Voyage No.")</t>
  </si>
  <si>
    <t>=NF($F533,"Voyage No.")</t>
  </si>
  <si>
    <t>=NF($F534,"Voyage No.")</t>
  </si>
  <si>
    <t>=NF($F535,"Voyage No.")</t>
  </si>
  <si>
    <t>=NF($F536,"Voyage No.")</t>
  </si>
  <si>
    <t>=NF($F537,"Voyage No.")</t>
  </si>
  <si>
    <t>=NF($F399,"Arrival Date")</t>
  </si>
  <si>
    <t>=NF($F400,"Arrival Date")</t>
  </si>
  <si>
    <t>=NF($F432,"Arrival Date")</t>
  </si>
  <si>
    <t>=NF($F433,"Arrival Date")</t>
  </si>
  <si>
    <t>=NF($F453,"Arrival Date")</t>
  </si>
  <si>
    <t>=NF($F454,"Arrival Date")</t>
  </si>
  <si>
    <t>=NF($F455,"Arrival Date")</t>
  </si>
  <si>
    <t>=NF($F456,"Arrival Date")</t>
  </si>
  <si>
    <t>=NF($F457,"Arrival Date")</t>
  </si>
  <si>
    <t>=NF($F458,"Arrival Date")</t>
  </si>
  <si>
    <t>=NF($F459,"Arrival Date")</t>
  </si>
  <si>
    <t>=NF($F460,"Arrival Date")</t>
  </si>
  <si>
    <t>=NF($F461,"Arrival Date")</t>
  </si>
  <si>
    <t>=NF($F462,"Arrival Date")</t>
  </si>
  <si>
    <t>=NF($F463,"Arrival Date")</t>
  </si>
  <si>
    <t>=NF($F464,"Arrival Date")</t>
  </si>
  <si>
    <t>=NF($F465,"Arrival Date")</t>
  </si>
  <si>
    <t>=NF($F466,"Arrival Date")</t>
  </si>
  <si>
    <t>=NF($F467,"Arrival Date")</t>
  </si>
  <si>
    <t>=NF($F468,"Arrival Date")</t>
  </si>
  <si>
    <t>=NF($F469,"Arrival Date")</t>
  </si>
  <si>
    <t>=NF($F470,"Arrival Date")</t>
  </si>
  <si>
    <t>=NF($F471,"Arrival Date")</t>
  </si>
  <si>
    <t>=NF($F472,"Arrival Date")</t>
  </si>
  <si>
    <t>=NF($F473,"Arrival Date")</t>
  </si>
  <si>
    <t>=NF($F474,"Arrival Date")</t>
  </si>
  <si>
    <t>=NF($F475,"Arrival Date")</t>
  </si>
  <si>
    <t>=NF($F476,"Arrival Date")</t>
  </si>
  <si>
    <t>=NF($F477,"Arrival Date")</t>
  </si>
  <si>
    <t>=NF($F478,"Arrival Date")</t>
  </si>
  <si>
    <t>=NF($F479,"Arrival Date")</t>
  </si>
  <si>
    <t>=NF($F480,"Arrival Date")</t>
  </si>
  <si>
    <t>=NF($F481,"Arrival Date")</t>
  </si>
  <si>
    <t>=NF($F482,"Arrival Date")</t>
  </si>
  <si>
    <t>=NF($F483,"Arrival Date")</t>
  </si>
  <si>
    <t>=NF($F484,"Arrival Date")</t>
  </si>
  <si>
    <t>=NF($F485,"Arrival Date")</t>
  </si>
  <si>
    <t>=NF($F486,"Arrival Date")</t>
  </si>
  <si>
    <t>=NF($F487,"Arrival Date")</t>
  </si>
  <si>
    <t>=NF($F488,"Arrival Date")</t>
  </si>
  <si>
    <t>=NF($F489,"Arrival Date")</t>
  </si>
  <si>
    <t>=NF($F490,"Arrival Date")</t>
  </si>
  <si>
    <t>=NF($F491,"Arrival Date")</t>
  </si>
  <si>
    <t>=NF($F492,"Arrival Date")</t>
  </si>
  <si>
    <t>=NF($F493,"Arrival Date")</t>
  </si>
  <si>
    <t>=NF($F494,"Arrival Date")</t>
  </si>
  <si>
    <t>=NF($F495,"Arrival Date")</t>
  </si>
  <si>
    <t>=NF($F496,"Arrival Date")</t>
  </si>
  <si>
    <t>=NF($F497,"Arrival Date")</t>
  </si>
  <si>
    <t>=NF($F498,"Arrival Date")</t>
  </si>
  <si>
    <t>=NF($F499,"Arrival Date")</t>
  </si>
  <si>
    <t>=NF($F500,"Arrival Date")</t>
  </si>
  <si>
    <t>=NF($F501,"Arrival Date")</t>
  </si>
  <si>
    <t>=NF($F502,"Arrival Date")</t>
  </si>
  <si>
    <t>=NF($F399,"Vessel Name")</t>
  </si>
  <si>
    <t>=NF($F400,"Vessel Name")</t>
  </si>
  <si>
    <t>=NF($F432,"Vessel Name")</t>
  </si>
  <si>
    <t>=NF($F433,"Vessel Name")</t>
  </si>
  <si>
    <t>=NF($F453,"Vessel Name")</t>
  </si>
  <si>
    <t>=NF($F454,"Vessel Name")</t>
  </si>
  <si>
    <t>=NF($F455,"Vessel Name")</t>
  </si>
  <si>
    <t>=NF($F456,"Vessel Name")</t>
  </si>
  <si>
    <t>=NF($F457,"Vessel Name")</t>
  </si>
  <si>
    <t>=NF($F458,"Vessel Name")</t>
  </si>
  <si>
    <t>=NF($F459,"Vessel Name")</t>
  </si>
  <si>
    <t>=NF($F460,"Vessel Name")</t>
  </si>
  <si>
    <t>=NF($F461,"Vessel Name")</t>
  </si>
  <si>
    <t>=NF($F462,"Vessel Name")</t>
  </si>
  <si>
    <t>=NF($F463,"Vessel Name")</t>
  </si>
  <si>
    <t>=NF($F464,"Vessel Name")</t>
  </si>
  <si>
    <t>=NF($F465,"Vessel Name")</t>
  </si>
  <si>
    <t>=NF($F466,"Vessel Name")</t>
  </si>
  <si>
    <t>=NF($F467,"Vessel Name")</t>
  </si>
  <si>
    <t>=NF($F468,"Vessel Name")</t>
  </si>
  <si>
    <t>=NF($F469,"Vessel Name")</t>
  </si>
  <si>
    <t>=NF($F470,"Vessel Name")</t>
  </si>
  <si>
    <t>=NF($F471,"Vessel Name")</t>
  </si>
  <si>
    <t>=NF($F472,"Vessel Name")</t>
  </si>
  <si>
    <t>=NF($F473,"Vessel Name")</t>
  </si>
  <si>
    <t>=NF($F474,"Vessel Name")</t>
  </si>
  <si>
    <t>=NF($F475,"Vessel Name")</t>
  </si>
  <si>
    <t>=NF($F476,"Vessel Name")</t>
  </si>
  <si>
    <t>=NF($F477,"Vessel Name")</t>
  </si>
  <si>
    <t>=NF($F478,"Vessel Name")</t>
  </si>
  <si>
    <t>=NF($F479,"Vessel Name")</t>
  </si>
  <si>
    <t>=NF($F480,"Vessel Name")</t>
  </si>
  <si>
    <t>=NF($F481,"Vessel Name")</t>
  </si>
  <si>
    <t>=NF($F482,"Vessel Name")</t>
  </si>
  <si>
    <t>=NF($F483,"Vessel Name")</t>
  </si>
  <si>
    <t>=NF($F484,"Vessel Name")</t>
  </si>
  <si>
    <t>=NF($F485,"Vessel Name")</t>
  </si>
  <si>
    <t>=NF($F486,"Vessel Name")</t>
  </si>
  <si>
    <t>=NF($F487,"Vessel Name")</t>
  </si>
  <si>
    <t>=NF($F488,"Vessel Name")</t>
  </si>
  <si>
    <t>=NF($F489,"Vessel Name")</t>
  </si>
  <si>
    <t>=NF($F490,"Vessel Name")</t>
  </si>
  <si>
    <t>=NF($F491,"Vessel Name")</t>
  </si>
  <si>
    <t>=NF($F492,"Vessel Name")</t>
  </si>
  <si>
    <t>=NF($F493,"Vessel Name")</t>
  </si>
  <si>
    <t>=NF($F494,"Vessel Name")</t>
  </si>
  <si>
    <t>=NF($F495,"Vessel Name")</t>
  </si>
  <si>
    <t>=NF($F496,"Vessel Name")</t>
  </si>
  <si>
    <t>=NF($F497,"Vessel Name")</t>
  </si>
  <si>
    <t>=NF($F498,"Vessel Name")</t>
  </si>
  <si>
    <t>=NF($F499,"Vessel Name")</t>
  </si>
  <si>
    <t>=NF($F500,"Vessel Name")</t>
  </si>
  <si>
    <t>=NF($F501,"Vessel Name")</t>
  </si>
  <si>
    <t>=NF($F502,"Vessel Name")</t>
  </si>
  <si>
    <t>=NF($F399,"Voyage No.")</t>
  </si>
  <si>
    <t>=NF($F400,"Voyage No.")</t>
  </si>
  <si>
    <t>=NF($F432,"Voyage No.")</t>
  </si>
  <si>
    <t>=NF($F433,"Voyage No.")</t>
  </si>
  <si>
    <t>=NF($F453,"Voyage No.")</t>
  </si>
  <si>
    <t>=NF($F454,"Voyage No.")</t>
  </si>
  <si>
    <t>=NF($F455,"Voyage No.")</t>
  </si>
  <si>
    <t>=NF($F456,"Voyage No.")</t>
  </si>
  <si>
    <t>=NF($F457,"Voyage No.")</t>
  </si>
  <si>
    <t>=NF($F458,"Voyage No.")</t>
  </si>
  <si>
    <t>=NF($F459,"Voyage No.")</t>
  </si>
  <si>
    <t>=NF($F460,"Voyage No.")</t>
  </si>
  <si>
    <t>=NF($F461,"Voyage No.")</t>
  </si>
  <si>
    <t>=NF($F462,"Voyage No.")</t>
  </si>
  <si>
    <t>=NF($F463,"Voyage No.")</t>
  </si>
  <si>
    <t>=NF($F464,"Voyage No.")</t>
  </si>
  <si>
    <t>=NF($F465,"Voyage No.")</t>
  </si>
  <si>
    <t>=NF($F466,"Voyage No.")</t>
  </si>
  <si>
    <t>=NF($F467,"Voyage No.")</t>
  </si>
  <si>
    <t>=NF($F468,"Voyage No.")</t>
  </si>
  <si>
    <t>=NF($F469,"Voyage No.")</t>
  </si>
  <si>
    <t>=NF($F470,"Voyage No.")</t>
  </si>
  <si>
    <t>=NF($F471,"Voyage No.")</t>
  </si>
  <si>
    <t>=NF($F472,"Voyage No.")</t>
  </si>
  <si>
    <t>=NF($F473,"Voyage No.")</t>
  </si>
  <si>
    <t>=NF($F474,"Voyage No.")</t>
  </si>
  <si>
    <t>=NF($F475,"Voyage No.")</t>
  </si>
  <si>
    <t>=NF($F476,"Voyage No.")</t>
  </si>
  <si>
    <t>=NF($F477,"Voyage No.")</t>
  </si>
  <si>
    <t>=NF($F478,"Voyage No.")</t>
  </si>
  <si>
    <t>=NF($F479,"Voyage No.")</t>
  </si>
  <si>
    <t>=NF($F480,"Voyage No.")</t>
  </si>
  <si>
    <t>=NF($F481,"Voyage No.")</t>
  </si>
  <si>
    <t>=NF($F482,"Voyage No.")</t>
  </si>
  <si>
    <t>=NF($F483,"Voyage No.")</t>
  </si>
  <si>
    <t>=NF($F484,"Voyage No.")</t>
  </si>
  <si>
    <t>=NF($F485,"Voyage No.")</t>
  </si>
  <si>
    <t>=NF($F486,"Voyage No.")</t>
  </si>
  <si>
    <t>=NF($F487,"Voyage No.")</t>
  </si>
  <si>
    <t>=NF($F488,"Voyage No.")</t>
  </si>
  <si>
    <t>=NF($F489,"Voyage No.")</t>
  </si>
  <si>
    <t>=NF($F490,"Voyage No.")</t>
  </si>
  <si>
    <t>=NF($F491,"Voyage No.")</t>
  </si>
  <si>
    <t>=NF($F492,"Voyage No.")</t>
  </si>
  <si>
    <t>=NF($F493,"Voyage No.")</t>
  </si>
  <si>
    <t>=NF($F494,"Voyage No.")</t>
  </si>
  <si>
    <t>=NF($F495,"Voyage No.")</t>
  </si>
  <si>
    <t>=NF($F496,"Voyage No.")</t>
  </si>
  <si>
    <t>=NF($F497,"Voyage No.")</t>
  </si>
  <si>
    <t>=NF($F498,"Voyage No.")</t>
  </si>
  <si>
    <t>=NF($F499,"Voyage No.")</t>
  </si>
  <si>
    <t>=NF($F500,"Voyage No.")</t>
  </si>
  <si>
    <t>=NF($F501,"Voyage No.")</t>
  </si>
  <si>
    <t>=NF($F502,"Voyage No.")</t>
  </si>
  <si>
    <t>=NF($F204,"Arrival Date")</t>
  </si>
  <si>
    <t>=NF($F205,"Arrival Date")</t>
  </si>
  <si>
    <t>=NF($F236,"Arrival Date")</t>
  </si>
  <si>
    <t>=NF($F237,"Arrival Date")</t>
  </si>
  <si>
    <t>=NF($F204,"Vessel Name")</t>
  </si>
  <si>
    <t>=NF($F205,"Vessel Name")</t>
  </si>
  <si>
    <t>=NF($F236,"Vessel Name")</t>
  </si>
  <si>
    <t>=NF($F237,"Vessel Name")</t>
  </si>
  <si>
    <t>=NF($F204,"Voyage No.")</t>
  </si>
  <si>
    <t>=NF($F205,"Voyage No.")</t>
  </si>
  <si>
    <t>=NF($F236,"Voyage No.")</t>
  </si>
  <si>
    <t>=NF($F237,"Voyage No.")</t>
  </si>
  <si>
    <t>=NF($F111,"Arrival Date")</t>
  </si>
  <si>
    <t>=NF($F112,"Arrival Date")</t>
  </si>
  <si>
    <t>=NF($F111,"Vessel Name")</t>
  </si>
  <si>
    <t>=NF($F112,"Vessel Name")</t>
  </si>
  <si>
    <t>=NF($F111,"Voyage No.")</t>
  </si>
  <si>
    <t>=NF($F112,"Voyage No.")</t>
  </si>
  <si>
    <t>=NF($F94,"Arrival Date")</t>
  </si>
  <si>
    <t>=NF($F95,"Arrival Date")</t>
  </si>
  <si>
    <t>=NF($F94,"Vessel Name")</t>
  </si>
  <si>
    <t>=NF($F95,"Vessel Name")</t>
  </si>
  <si>
    <t>=NF($F94,"Voyage No.")</t>
  </si>
  <si>
    <t>=NF($F95,"Voyage No.")</t>
  </si>
  <si>
    <t>=D127</t>
  </si>
  <si>
    <t>="""BC Live Database"",""Gurrentz"",""50013"",""20"",""HOUS"",""1"",""GALL"",""10"",""206"",""40"",""NI"""</t>
  </si>
  <si>
    <t>=D128</t>
  </si>
  <si>
    <t>="""BC Live Database"",""Gurrentz"",""50013"",""20"",""HOUS"",""1"",""GALL"",""10"",""207"",""40"",""NI"""</t>
  </si>
  <si>
    <t>="""BC Live Database"",""Gurrentz"",""50013"",""20"",""HOUS"",""1"",""OLIM"",""10"",""207"",""40"",""NZ"""</t>
  </si>
  <si>
    <t>=E132</t>
  </si>
  <si>
    <t>=NL("Rows","Vessel Schedule",,"Destination Port Name","@@"&amp;$D133,"+Arrival Date","*")</t>
  </si>
  <si>
    <t>="""BC Live Database"",""Gurrentz"",""50013"",""20"",""LOSA"",""1"",""CASO"",""10"",""149"",""40"",""BR"""</t>
  </si>
  <si>
    <t>="""BC Live Database"",""Gurrentz"",""50013"",""20"",""LOSA"",""1"",""MANO"",""10"",""071"",""40"",""NI"""</t>
  </si>
  <si>
    <t>="""BC Live Database"",""Gurrentz"",""50013"",""20"",""LOSA"",""1"",""MANO"",""10"",""207"",""40"",""NI"""</t>
  </si>
  <si>
    <t>="""BC Live Database"",""Gurrentz"",""50013"",""20"",""LOSA"",""1"",""MSSH"",""10"",""201"",""40"",""BR"""</t>
  </si>
  <si>
    <t>="""BC Live Database"",""Gurrentz"",""50013"",""20"",""LOSA"",""1"",""MANO"",""10"",""011"",""40"",""BR"""</t>
  </si>
  <si>
    <t>="""BC Live Database"",""Gurrentz"",""50013"",""20"",""LOSA"",""1"",""MANO"",""10"",""011"",""40"",""NI"""</t>
  </si>
  <si>
    <t>="""BC Live Database"",""Gurrentz"",""50013"",""20"",""LOSA"",""1"",""TIRUA"",""10"",""2201"",""40"",""BR"""</t>
  </si>
  <si>
    <t>=D265</t>
  </si>
  <si>
    <t>="""BC Live Database"",""Gurrentz"",""50013"",""20"",""LOSA"",""1"",""TUCA"",""10"",""2202"",""40"",""BR"""</t>
  </si>
  <si>
    <t>=D266</t>
  </si>
  <si>
    <t>="""BC Live Database"",""Gurrentz"",""50013"",""20"",""LOSA"",""1"",""MAIN"",""10"",""205"",""40"",""NZ"""</t>
  </si>
  <si>
    <t>="""BC Live Database"",""Gurrentz"",""50013"",""20"",""LOSA"",""1"",""TEMP"",""10"",""2203"",""40"",""BR"""</t>
  </si>
  <si>
    <t>=E274</t>
  </si>
  <si>
    <t>=NL("Rows","Vessel Schedule",,"Destination Port Name","@@"&amp;$D275,"+Arrival Date","*")</t>
  </si>
  <si>
    <t>=D296</t>
  </si>
  <si>
    <t>=D297</t>
  </si>
  <si>
    <t>=E305</t>
  </si>
  <si>
    <t>=NL("Rows","Vessel Schedule",,"Destination Port Name","@@"&amp;$D306,"+Arrival Date","*")</t>
  </si>
  <si>
    <t>=D326</t>
  </si>
  <si>
    <t>=D327</t>
  </si>
  <si>
    <t>=E335</t>
  </si>
  <si>
    <t>=NL("Rows","Vessel Schedule",,"Destination Port Name","@@"&amp;$D336,"+Arrival Date","*")</t>
  </si>
  <si>
    <t>="""BC Live Database"",""Gurrentz"",""50013"",""20"",""PHIL"",""1"",""POSK"",""10"",""206"",""40"",""UY"""</t>
  </si>
  <si>
    <t>="""BC Live Database"",""Gurrentz"",""50013"",""20"",""PHIL"",""1"",""ACON"",""10"",""207"",""40"",""BR"""</t>
  </si>
  <si>
    <t>="""BC Live Database"",""Gurrentz"",""50013"",""20"",""PHIL"",""1"",""MOOL"",""10"",""206"",""40"",""BR"""</t>
  </si>
  <si>
    <t>=D502</t>
  </si>
  <si>
    <t>=D503</t>
  </si>
  <si>
    <t>="""BC Live Database"",""Gurrentz"",""50013"",""20"",""PHIL"",""1"",""EXBR"",""10"",""207"",""40"",""BR"""</t>
  </si>
  <si>
    <t>="""BC Live Database"",""Gurrentz"",""50013"",""20"",""PHIL"",""1"",""ALEGRE"",""10"",""207"",""40"",""BR"""</t>
  </si>
  <si>
    <t>="""BC Live Database"",""Gurrentz"",""50013"",""20"",""PHIL"",""1"",""SPSI"",""10"",""208"",""40"",""AU"""</t>
  </si>
  <si>
    <t>="""BC Live Database"",""Gurrentz"",""50013"",""20"",""PHIL"",""1"",""SPSI"",""10"",""208"",""40"",""NZ"""</t>
  </si>
  <si>
    <t>=E518</t>
  </si>
  <si>
    <t>=NL("Rows","Vessel Schedule",,"Destination Port Name","@@"&amp;$D519,"+Arrival Date","*")</t>
  </si>
  <si>
    <t>=D537</t>
  </si>
  <si>
    <t>=D538</t>
  </si>
  <si>
    <t>=E553</t>
  </si>
  <si>
    <t>=NL("Rows","Vessel Schedule",,"Destination Port Name","@@"&amp;$D554,"+Arrival Date","*")</t>
  </si>
  <si>
    <t>=D558</t>
  </si>
  <si>
    <t>=D559</t>
  </si>
  <si>
    <t>=D560</t>
  </si>
  <si>
    <t>=D561</t>
  </si>
  <si>
    <t>=D562</t>
  </si>
  <si>
    <t>=D563</t>
  </si>
  <si>
    <t>=D564</t>
  </si>
  <si>
    <t>=D565</t>
  </si>
  <si>
    <t>=D566</t>
  </si>
  <si>
    <t>=D567</t>
  </si>
  <si>
    <t>=D568</t>
  </si>
  <si>
    <t>=D569</t>
  </si>
  <si>
    <t>=D570</t>
  </si>
  <si>
    <t>=D571</t>
  </si>
  <si>
    <t>=NF($F559,"Arrival Date")</t>
  </si>
  <si>
    <t>=NF($F560,"Arrival Date")</t>
  </si>
  <si>
    <t>=NF($F561,"Arrival Date")</t>
  </si>
  <si>
    <t>=NF($F562,"Arrival Date")</t>
  </si>
  <si>
    <t>=NF($F563,"Arrival Date")</t>
  </si>
  <si>
    <t>=NF($F564,"Arrival Date")</t>
  </si>
  <si>
    <t>=NF($F565,"Arrival Date")</t>
  </si>
  <si>
    <t>=NF($F566,"Arrival Date")</t>
  </si>
  <si>
    <t>=NF($F567,"Arrival Date")</t>
  </si>
  <si>
    <t>=NF($F568,"Arrival Date")</t>
  </si>
  <si>
    <t>=NF($F569,"Arrival Date")</t>
  </si>
  <si>
    <t>=NF($F570,"Arrival Date")</t>
  </si>
  <si>
    <t>=NF($F571,"Arrival Date")</t>
  </si>
  <si>
    <t>=NF($F572,"Arrival Date")</t>
  </si>
  <si>
    <t>=NF($F559,"Vessel Name")</t>
  </si>
  <si>
    <t>=NF($F560,"Vessel Name")</t>
  </si>
  <si>
    <t>=NF($F561,"Vessel Name")</t>
  </si>
  <si>
    <t>=NF($F562,"Vessel Name")</t>
  </si>
  <si>
    <t>=NF($F563,"Vessel Name")</t>
  </si>
  <si>
    <t>=NF($F564,"Vessel Name")</t>
  </si>
  <si>
    <t>=NF($F565,"Vessel Name")</t>
  </si>
  <si>
    <t>=NF($F566,"Vessel Name")</t>
  </si>
  <si>
    <t>=NF($F567,"Vessel Name")</t>
  </si>
  <si>
    <t>=NF($F568,"Vessel Name")</t>
  </si>
  <si>
    <t>=NF($F569,"Vessel Name")</t>
  </si>
  <si>
    <t>=NF($F570,"Vessel Name")</t>
  </si>
  <si>
    <t>=NF($F571,"Vessel Name")</t>
  </si>
  <si>
    <t>=NF($F572,"Vessel Name")</t>
  </si>
  <si>
    <t>=NF($F559,"Voyage No.")</t>
  </si>
  <si>
    <t>=NF($F560,"Voyage No.")</t>
  </si>
  <si>
    <t>=NF($F561,"Voyage No.")</t>
  </si>
  <si>
    <t>=NF($F562,"Voyage No.")</t>
  </si>
  <si>
    <t>=NF($F563,"Voyage No.")</t>
  </si>
  <si>
    <t>=NF($F564,"Voyage No.")</t>
  </si>
  <si>
    <t>=NF($F565,"Voyage No.")</t>
  </si>
  <si>
    <t>=NF($F566,"Voyage No.")</t>
  </si>
  <si>
    <t>=NF($F567,"Voyage No.")</t>
  </si>
  <si>
    <t>=NF($F568,"Voyage No.")</t>
  </si>
  <si>
    <t>=NF($F569,"Voyage No.")</t>
  </si>
  <si>
    <t>=NF($F570,"Voyage No.")</t>
  </si>
  <si>
    <t>=NF($F571,"Voyage No.")</t>
  </si>
  <si>
    <t>=NF($F572,"Voyage No.")</t>
  </si>
  <si>
    <t>=NF($F538,"Arrival Date")</t>
  </si>
  <si>
    <t>=NF($F539,"Arrival Date")</t>
  </si>
  <si>
    <t>=NF($F538,"Vessel Name")</t>
  </si>
  <si>
    <t>=NF($F539,"Vessel Name")</t>
  </si>
  <si>
    <t>=NF($F538,"Voyage No.")</t>
  </si>
  <si>
    <t>=NF($F539,"Voyage No.")</t>
  </si>
  <si>
    <t>=NF($F503,"Arrival Date")</t>
  </si>
  <si>
    <t>=NF($F504,"Arrival Date")</t>
  </si>
  <si>
    <t>=NF($F503,"Vessel Name")</t>
  </si>
  <si>
    <t>=NF($F504,"Vessel Name")</t>
  </si>
  <si>
    <t>=NF($F503,"Voyage No.")</t>
  </si>
  <si>
    <t>=NF($F504,"Voyage No.")</t>
  </si>
  <si>
    <t>=NF($F327,"Arrival Date")</t>
  </si>
  <si>
    <t>=NF($F328,"Arrival Date")</t>
  </si>
  <si>
    <t>=NF($F327,"Vessel Name")</t>
  </si>
  <si>
    <t>=NF($F328,"Vessel Name")</t>
  </si>
  <si>
    <t>=NF($F327,"Voyage No.")</t>
  </si>
  <si>
    <t>=NF($F328,"Voyage No.")</t>
  </si>
  <si>
    <t>=NF($F297,"Arrival Date")</t>
  </si>
  <si>
    <t>=NF($F298,"Arrival Date")</t>
  </si>
  <si>
    <t>=NF($F297,"Vessel Name")</t>
  </si>
  <si>
    <t>=NF($F298,"Vessel Name")</t>
  </si>
  <si>
    <t>=NF($F297,"Voyage No.")</t>
  </si>
  <si>
    <t>=NF($F298,"Voyage No.")</t>
  </si>
  <si>
    <t>=NF($F266,"Arrival Date")</t>
  </si>
  <si>
    <t>=NF($F267,"Arrival Date")</t>
  </si>
  <si>
    <t>=NF($F266,"Vessel Name")</t>
  </si>
  <si>
    <t>=NF($F267,"Vessel Name")</t>
  </si>
  <si>
    <t>=NF($F266,"Voyage No.")</t>
  </si>
  <si>
    <t>=NF($F267,"Voyage No.")</t>
  </si>
  <si>
    <t>=NF($F128,"Arrival Date")</t>
  </si>
  <si>
    <t>=NF($F129,"Arrival Date")</t>
  </si>
  <si>
    <t>=NF($F128,"Vessel Name")</t>
  </si>
  <si>
    <t>=NF($F129,"Vessel Name")</t>
  </si>
  <si>
    <t>=NF($F128,"Voyage No.")</t>
  </si>
  <si>
    <t>=NF($F129,"Voyage No.")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</si>
</sst>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C0C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quotePrefix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F531E-0C60-4E8B-BD82-3A4FBD283BB4}">
  <dimension ref="A1:I573"/>
  <sheetViews>
    <sheetView tabSelected="1" topLeftCell="B2" workbookViewId="0"/>
  </sheetViews>
  <sheetFormatPr defaultRowHeight="14.4" x14ac:dyDescent="0.3"/>
  <cols>
    <col min="1" max="1" width="9" hidden="1" customWidth="1"/>
    <col min="4" max="4" width="9" style="1" hidden="1" customWidth="1"/>
    <col min="5" max="5" width="19.77734375" bestFit="1" customWidth="1"/>
    <col min="6" max="6" width="9" style="1" hidden="1" customWidth="1"/>
    <col min="7" max="7" width="10.5546875" bestFit="1" customWidth="1"/>
    <col min="8" max="8" width="21.44140625" bestFit="1" customWidth="1"/>
    <col min="9" max="9" width="10.44140625" bestFit="1" customWidth="1"/>
  </cols>
  <sheetData>
    <row r="1" spans="1:9" hidden="1" x14ac:dyDescent="0.3">
      <c r="A1" t="s">
        <v>2089</v>
      </c>
      <c r="D1" s="1" t="s">
        <v>2</v>
      </c>
      <c r="E1" t="s">
        <v>0</v>
      </c>
      <c r="F1" s="1" t="s">
        <v>2</v>
      </c>
      <c r="G1" t="s">
        <v>0</v>
      </c>
      <c r="H1" t="s">
        <v>0</v>
      </c>
      <c r="I1" t="s">
        <v>0</v>
      </c>
    </row>
    <row r="4" spans="1:9" x14ac:dyDescent="0.3">
      <c r="E4" t="s">
        <v>1</v>
      </c>
    </row>
    <row r="5" spans="1:9" x14ac:dyDescent="0.3">
      <c r="D5" s="1" t="str">
        <f>E5</f>
        <v>Charleston, SC</v>
      </c>
      <c r="E5" t="str">
        <f>"Charleston, SC"</f>
        <v>Charleston, SC</v>
      </c>
      <c r="G5" t="s">
        <v>3</v>
      </c>
      <c r="H5" t="s">
        <v>4</v>
      </c>
      <c r="I5" t="s">
        <v>5</v>
      </c>
    </row>
    <row r="6" spans="1:9" x14ac:dyDescent="0.3">
      <c r="D6" s="1" t="str">
        <f>D5</f>
        <v>Charleston, SC</v>
      </c>
      <c r="F6" s="1" t="str">
        <f>"""BC Live Database"",""Gurrentz"",""50013"",""20"",""CHAS"",""1"",""MAIN"",""10"",""135"",""40"",""AU"""</f>
        <v>"BC Live Database","Gurrentz","50013","20","CHAS","1","MAIN","10","135","40","AU"</v>
      </c>
      <c r="G6" s="3">
        <v>44495</v>
      </c>
      <c r="H6" t="str">
        <f>"Maersk Inverness"</f>
        <v>Maersk Inverness</v>
      </c>
      <c r="I6" t="str">
        <f>"135"</f>
        <v>135</v>
      </c>
    </row>
    <row r="7" spans="1:9" x14ac:dyDescent="0.3">
      <c r="A7" t="s">
        <v>14</v>
      </c>
      <c r="D7" s="1" t="str">
        <f t="shared" ref="D7:D50" si="0">D6</f>
        <v>Charleston, SC</v>
      </c>
      <c r="F7" s="1" t="str">
        <f>"""BC Live Database"",""Gurrentz"",""50013"",""20"",""CHAS"",""1"",""MAIN"",""10"",""135"",""40"",""BR"""</f>
        <v>"BC Live Database","Gurrentz","50013","20","CHAS","1","MAIN","10","135","40","BR"</v>
      </c>
      <c r="G7" s="3">
        <v>44495</v>
      </c>
      <c r="H7" t="str">
        <f>"Maersk Inverness"</f>
        <v>Maersk Inverness</v>
      </c>
      <c r="I7" t="str">
        <f>"135"</f>
        <v>135</v>
      </c>
    </row>
    <row r="8" spans="1:9" x14ac:dyDescent="0.3">
      <c r="A8" t="s">
        <v>14</v>
      </c>
      <c r="D8" s="1" t="str">
        <f t="shared" si="0"/>
        <v>Charleston, SC</v>
      </c>
      <c r="F8" s="1" t="str">
        <f>"""BC Live Database"",""Gurrentz"",""50013"",""20"",""CHAS"",""1"",""MAIN"",""10"",""135"",""40"",""NZ"""</f>
        <v>"BC Live Database","Gurrentz","50013","20","CHAS","1","MAIN","10","135","40","NZ"</v>
      </c>
      <c r="G8" s="3">
        <v>44495</v>
      </c>
      <c r="H8" t="str">
        <f>"Maersk Inverness"</f>
        <v>Maersk Inverness</v>
      </c>
      <c r="I8" t="str">
        <f>"135"</f>
        <v>135</v>
      </c>
    </row>
    <row r="9" spans="1:9" x14ac:dyDescent="0.3">
      <c r="A9" t="s">
        <v>14</v>
      </c>
      <c r="D9" s="1" t="str">
        <f t="shared" si="0"/>
        <v>Charleston, SC</v>
      </c>
      <c r="F9" s="1" t="str">
        <f>"""BC Live Database"",""Gurrentz"",""50013"",""20"",""CHAS"",""1"",""SPSH"",""10"",""137"",""40"",""AU"""</f>
        <v>"BC Live Database","Gurrentz","50013","20","CHAS","1","SPSH","10","137","40","AU"</v>
      </c>
      <c r="G9" s="3">
        <v>44509</v>
      </c>
      <c r="H9" t="str">
        <f>"Spirit of Shanghai"</f>
        <v>Spirit of Shanghai</v>
      </c>
      <c r="I9" t="str">
        <f>"137"</f>
        <v>137</v>
      </c>
    </row>
    <row r="10" spans="1:9" x14ac:dyDescent="0.3">
      <c r="A10" t="s">
        <v>14</v>
      </c>
      <c r="D10" s="1" t="str">
        <f t="shared" si="0"/>
        <v>Charleston, SC</v>
      </c>
      <c r="F10" s="1" t="str">
        <f>"""BC Live Database"",""Gurrentz"",""50013"",""20"",""CHAS"",""1"",""SPSH"",""10"",""137"",""40"",""NZ"""</f>
        <v>"BC Live Database","Gurrentz","50013","20","CHAS","1","SPSH","10","137","40","NZ"</v>
      </c>
      <c r="G10" s="3">
        <v>44509</v>
      </c>
      <c r="H10" t="str">
        <f>"Spirit of Shanghai"</f>
        <v>Spirit of Shanghai</v>
      </c>
      <c r="I10" t="str">
        <f>"137"</f>
        <v>137</v>
      </c>
    </row>
    <row r="11" spans="1:9" x14ac:dyDescent="0.3">
      <c r="A11" t="s">
        <v>14</v>
      </c>
      <c r="D11" s="1" t="str">
        <f t="shared" si="0"/>
        <v>Charleston, SC</v>
      </c>
      <c r="F11" s="1" t="str">
        <f>"""BC Live Database"",""Gurrentz"",""50013"",""20"",""CHAS"",""1"",""SABA"",""10"",""139"",""40"",""AU"""</f>
        <v>"BC Live Database","Gurrentz","50013","20","CHAS","1","SABA","10","139","40","AU"</v>
      </c>
      <c r="G11" s="3">
        <v>44512</v>
      </c>
      <c r="H11" t="str">
        <f>"Safemarine Bayette"</f>
        <v>Safemarine Bayette</v>
      </c>
      <c r="I11" t="str">
        <f>"139"</f>
        <v>139</v>
      </c>
    </row>
    <row r="12" spans="1:9" x14ac:dyDescent="0.3">
      <c r="A12" t="s">
        <v>14</v>
      </c>
      <c r="D12" s="1" t="str">
        <f t="shared" si="0"/>
        <v>Charleston, SC</v>
      </c>
      <c r="F12" s="1" t="str">
        <f>"""BC Live Database"",""Gurrentz"",""50013"",""20"",""CHAS"",""1"",""SABA"",""10"",""139"",""40"",""NZ"""</f>
        <v>"BC Live Database","Gurrentz","50013","20","CHAS","1","SABA","10","139","40","NZ"</v>
      </c>
      <c r="G12" s="3">
        <v>44512</v>
      </c>
      <c r="H12" t="str">
        <f>"Safemarine Bayette"</f>
        <v>Safemarine Bayette</v>
      </c>
      <c r="I12" t="str">
        <f>"139"</f>
        <v>139</v>
      </c>
    </row>
    <row r="13" spans="1:9" x14ac:dyDescent="0.3">
      <c r="A13" t="s">
        <v>14</v>
      </c>
      <c r="D13" s="1" t="str">
        <f t="shared" si="0"/>
        <v>Charleston, SC</v>
      </c>
      <c r="F13" s="1" t="str">
        <f>"""BC Live Database"",""Gurrentz"",""50013"",""20"",""CHAS"",""1"",""SPSY"",""10"",""140"",""40"",""AU"""</f>
        <v>"BC Live Database","Gurrentz","50013","20","CHAS","1","SPSY","10","140","40","AU"</v>
      </c>
      <c r="G13" s="3">
        <v>44523</v>
      </c>
      <c r="H13" t="str">
        <f>"Spirit of Sydney"</f>
        <v>Spirit of Sydney</v>
      </c>
      <c r="I13" t="str">
        <f>"140"</f>
        <v>140</v>
      </c>
    </row>
    <row r="14" spans="1:9" x14ac:dyDescent="0.3">
      <c r="A14" t="s">
        <v>14</v>
      </c>
      <c r="D14" s="1" t="str">
        <f t="shared" si="0"/>
        <v>Charleston, SC</v>
      </c>
      <c r="F14" s="1" t="str">
        <f>"""BC Live Database"",""Gurrentz"",""50013"",""20"",""CHAS"",""1"",""SPSY"",""10"",""140"",""40"",""NZ"""</f>
        <v>"BC Live Database","Gurrentz","50013","20","CHAS","1","SPSY","10","140","40","NZ"</v>
      </c>
      <c r="G14" s="3">
        <v>44523</v>
      </c>
      <c r="H14" t="str">
        <f>"Spirit of Sydney"</f>
        <v>Spirit of Sydney</v>
      </c>
      <c r="I14" t="str">
        <f>"140"</f>
        <v>140</v>
      </c>
    </row>
    <row r="15" spans="1:9" x14ac:dyDescent="0.3">
      <c r="A15" t="s">
        <v>14</v>
      </c>
      <c r="D15" s="1" t="str">
        <f t="shared" si="0"/>
        <v>Charleston, SC</v>
      </c>
      <c r="F15" s="1" t="str">
        <f>"""BC Live Database"",""Gurrentz"",""50013"",""20"",""CHAS"",""1"",""OLFM"",""10"",""141"",""40"",""AU"""</f>
        <v>"BC Live Database","Gurrentz","50013","20","CHAS","1","OLFM","10","141","40","AU"</v>
      </c>
      <c r="G15" s="3">
        <v>44530</v>
      </c>
      <c r="H15" t="str">
        <f>"Oluf Maersk"</f>
        <v>Oluf Maersk</v>
      </c>
      <c r="I15" t="str">
        <f>"141"</f>
        <v>141</v>
      </c>
    </row>
    <row r="16" spans="1:9" x14ac:dyDescent="0.3">
      <c r="A16" t="s">
        <v>14</v>
      </c>
      <c r="D16" s="1" t="str">
        <f t="shared" si="0"/>
        <v>Charleston, SC</v>
      </c>
      <c r="F16" s="1" t="str">
        <f>"""BC Live Database"",""Gurrentz"",""50013"",""20"",""CHAS"",""1"",""OLFM"",""10"",""141"",""40"",""NZ"""</f>
        <v>"BC Live Database","Gurrentz","50013","20","CHAS","1","OLFM","10","141","40","NZ"</v>
      </c>
      <c r="G16" s="3">
        <v>44530</v>
      </c>
      <c r="H16" t="str">
        <f>"Oluf Maersk"</f>
        <v>Oluf Maersk</v>
      </c>
      <c r="I16" t="str">
        <f>"141"</f>
        <v>141</v>
      </c>
    </row>
    <row r="17" spans="1:9" x14ac:dyDescent="0.3">
      <c r="A17" t="s">
        <v>14</v>
      </c>
      <c r="D17" s="1" t="str">
        <f t="shared" si="0"/>
        <v>Charleston, SC</v>
      </c>
      <c r="F17" s="1" t="str">
        <f>"""BC Live Database"",""Gurrentz"",""50013"",""20"",""CHAS"",""1"",""SPAU"",""10"",""142"",""40"",""AU"""</f>
        <v>"BC Live Database","Gurrentz","50013","20","CHAS","1","SPAU","10","142","40","AU"</v>
      </c>
      <c r="G17" s="3">
        <v>44537</v>
      </c>
      <c r="H17" t="str">
        <f>"Spirit of Auckland"</f>
        <v>Spirit of Auckland</v>
      </c>
      <c r="I17" t="str">
        <f>"142"</f>
        <v>142</v>
      </c>
    </row>
    <row r="18" spans="1:9" x14ac:dyDescent="0.3">
      <c r="A18" t="s">
        <v>14</v>
      </c>
      <c r="D18" s="1" t="str">
        <f t="shared" si="0"/>
        <v>Charleston, SC</v>
      </c>
      <c r="F18" s="1" t="str">
        <f>"""BC Live Database"",""Gurrentz"",""50013"",""20"",""CHAS"",""1"",""SPAU"",""10"",""142"",""40"",""NZ"""</f>
        <v>"BC Live Database","Gurrentz","50013","20","CHAS","1","SPAU","10","142","40","NZ"</v>
      </c>
      <c r="G18" s="3">
        <v>44537</v>
      </c>
      <c r="H18" t="str">
        <f>"Spirit of Auckland"</f>
        <v>Spirit of Auckland</v>
      </c>
      <c r="I18" t="str">
        <f>"142"</f>
        <v>142</v>
      </c>
    </row>
    <row r="19" spans="1:9" x14ac:dyDescent="0.3">
      <c r="A19" t="s">
        <v>14</v>
      </c>
      <c r="D19" s="1" t="str">
        <f t="shared" si="0"/>
        <v>Charleston, SC</v>
      </c>
      <c r="F19" s="1" t="str">
        <f>"""BC Live Database"",""Gurrentz"",""50013"",""20"",""CHAS"",""1"",""OLGM"",""10"",""143"",""40"",""AU"""</f>
        <v>"BC Live Database","Gurrentz","50013","20","CHAS","1","OLGM","10","143","40","AU"</v>
      </c>
      <c r="G19" s="3">
        <v>44544</v>
      </c>
      <c r="H19" t="str">
        <f>"Olga Maersk"</f>
        <v>Olga Maersk</v>
      </c>
      <c r="I19" t="str">
        <f>"143"</f>
        <v>143</v>
      </c>
    </row>
    <row r="20" spans="1:9" x14ac:dyDescent="0.3">
      <c r="A20" t="s">
        <v>14</v>
      </c>
      <c r="D20" s="1" t="str">
        <f t="shared" si="0"/>
        <v>Charleston, SC</v>
      </c>
      <c r="F20" s="1" t="str">
        <f>"""BC Live Database"",""Gurrentz"",""50013"",""20"",""CHAS"",""1"",""OLGM"",""10"",""143"",""40"",""NZ"""</f>
        <v>"BC Live Database","Gurrentz","50013","20","CHAS","1","OLGM","10","143","40","NZ"</v>
      </c>
      <c r="G20" s="3">
        <v>44544</v>
      </c>
      <c r="H20" t="str">
        <f>"Olga Maersk"</f>
        <v>Olga Maersk</v>
      </c>
      <c r="I20" t="str">
        <f>"143"</f>
        <v>143</v>
      </c>
    </row>
    <row r="21" spans="1:9" x14ac:dyDescent="0.3">
      <c r="A21" t="s">
        <v>14</v>
      </c>
      <c r="D21" s="1" t="str">
        <f t="shared" si="0"/>
        <v>Charleston, SC</v>
      </c>
      <c r="F21" s="1" t="str">
        <f>"""BC Live Database"",""Gurrentz"",""50013"",""20"",""CHAS"",""1"",""SPME"",""10"",""144"",""40"",""AU"""</f>
        <v>"BC Live Database","Gurrentz","50013","20","CHAS","1","SPME","10","144","40","AU"</v>
      </c>
      <c r="G21" s="3">
        <v>44551</v>
      </c>
      <c r="H21" t="str">
        <f>"Spirit of Melbourne"</f>
        <v>Spirit of Melbourne</v>
      </c>
      <c r="I21" t="str">
        <f>"144"</f>
        <v>144</v>
      </c>
    </row>
    <row r="22" spans="1:9" x14ac:dyDescent="0.3">
      <c r="A22" t="s">
        <v>14</v>
      </c>
      <c r="D22" s="1" t="str">
        <f t="shared" si="0"/>
        <v>Charleston, SC</v>
      </c>
      <c r="F22" s="1" t="str">
        <f>"""BC Live Database"",""Gurrentz"",""50013"",""20"",""CHAS"",""1"",""SPME"",""10"",""144"",""40"",""NZ"""</f>
        <v>"BC Live Database","Gurrentz","50013","20","CHAS","1","SPME","10","144","40","NZ"</v>
      </c>
      <c r="G22" s="3">
        <v>44551</v>
      </c>
      <c r="H22" t="str">
        <f>"Spirit of Melbourne"</f>
        <v>Spirit of Melbourne</v>
      </c>
      <c r="I22" t="str">
        <f>"144"</f>
        <v>144</v>
      </c>
    </row>
    <row r="23" spans="1:9" x14ac:dyDescent="0.3">
      <c r="A23" t="s">
        <v>14</v>
      </c>
      <c r="D23" s="1" t="str">
        <f t="shared" si="0"/>
        <v>Charleston, SC</v>
      </c>
      <c r="F23" s="1" t="str">
        <f>"""BC Live Database"",""Gurrentz"",""50013"",""20"",""CHAS"",""1"",""MABI"",""10"",""145"",""40"",""AU"""</f>
        <v>"BC Live Database","Gurrentz","50013","20","CHAS","1","MABI","10","145","40","AU"</v>
      </c>
      <c r="G23" s="3">
        <v>44558</v>
      </c>
      <c r="H23" t="str">
        <f>"Maersk Bintan"</f>
        <v>Maersk Bintan</v>
      </c>
      <c r="I23" t="str">
        <f>"145"</f>
        <v>145</v>
      </c>
    </row>
    <row r="24" spans="1:9" x14ac:dyDescent="0.3">
      <c r="A24" t="s">
        <v>14</v>
      </c>
      <c r="D24" s="1" t="str">
        <f t="shared" si="0"/>
        <v>Charleston, SC</v>
      </c>
      <c r="F24" s="1" t="str">
        <f>"""BC Live Database"",""Gurrentz"",""50013"",""20"",""CHAS"",""1"",""MABI"",""10"",""145"",""40"",""NZ"""</f>
        <v>"BC Live Database","Gurrentz","50013","20","CHAS","1","MABI","10","145","40","NZ"</v>
      </c>
      <c r="G24" s="3">
        <v>44558</v>
      </c>
      <c r="H24" t="str">
        <f>"Maersk Bintan"</f>
        <v>Maersk Bintan</v>
      </c>
      <c r="I24" t="str">
        <f>"145"</f>
        <v>145</v>
      </c>
    </row>
    <row r="25" spans="1:9" x14ac:dyDescent="0.3">
      <c r="A25" t="s">
        <v>14</v>
      </c>
      <c r="D25" s="1" t="str">
        <f t="shared" si="0"/>
        <v>Charleston, SC</v>
      </c>
      <c r="F25" s="1" t="str">
        <f>"""BC Live Database"",""Gurrentz"",""50013"",""20"",""CHAS"",""1"",""SPSI"",""10"",""146"",""40"",""AU"""</f>
        <v>"BC Live Database","Gurrentz","50013","20","CHAS","1","SPSI","10","146","40","AU"</v>
      </c>
      <c r="G25" s="3">
        <v>44565</v>
      </c>
      <c r="H25" t="str">
        <f>"Spirit of Singapore"</f>
        <v>Spirit of Singapore</v>
      </c>
      <c r="I25" t="str">
        <f>"146"</f>
        <v>146</v>
      </c>
    </row>
    <row r="26" spans="1:9" x14ac:dyDescent="0.3">
      <c r="A26" t="s">
        <v>14</v>
      </c>
      <c r="D26" s="1" t="str">
        <f t="shared" si="0"/>
        <v>Charleston, SC</v>
      </c>
      <c r="F26" s="1" t="str">
        <f>"""BC Live Database"",""Gurrentz"",""50013"",""20"",""CHAS"",""1"",""SPSI"",""10"",""146"",""40"",""NZ"""</f>
        <v>"BC Live Database","Gurrentz","50013","20","CHAS","1","SPSI","10","146","40","NZ"</v>
      </c>
      <c r="G26" s="3">
        <v>44565</v>
      </c>
      <c r="H26" t="str">
        <f>"Spirit of Singapore"</f>
        <v>Spirit of Singapore</v>
      </c>
      <c r="I26" t="str">
        <f>"146"</f>
        <v>146</v>
      </c>
    </row>
    <row r="27" spans="1:9" x14ac:dyDescent="0.3">
      <c r="A27" t="s">
        <v>14</v>
      </c>
      <c r="D27" s="1" t="str">
        <f t="shared" si="0"/>
        <v>Charleston, SC</v>
      </c>
      <c r="F27" s="1" t="str">
        <f>"""BC Live Database"",""Gurrentz"",""50013"",""20"",""CHAS"",""1"",""MAIN"",""10"",""147"",""40"",""AU"""</f>
        <v>"BC Live Database","Gurrentz","50013","20","CHAS","1","MAIN","10","147","40","AU"</v>
      </c>
      <c r="G27" s="3">
        <v>44572</v>
      </c>
      <c r="H27" t="str">
        <f>"Maersk Inverness"</f>
        <v>Maersk Inverness</v>
      </c>
      <c r="I27" t="str">
        <f>"147"</f>
        <v>147</v>
      </c>
    </row>
    <row r="28" spans="1:9" x14ac:dyDescent="0.3">
      <c r="A28" t="s">
        <v>14</v>
      </c>
      <c r="D28" s="1" t="str">
        <f t="shared" si="0"/>
        <v>Charleston, SC</v>
      </c>
      <c r="F28" s="1" t="str">
        <f>"""BC Live Database"",""Gurrentz"",""50013"",""20"",""CHAS"",""1"",""MAIN"",""10"",""147"",""40"",""NZ"""</f>
        <v>"BC Live Database","Gurrentz","50013","20","CHAS","1","MAIN","10","147","40","NZ"</v>
      </c>
      <c r="G28" s="3">
        <v>44572</v>
      </c>
      <c r="H28" t="str">
        <f>"Maersk Inverness"</f>
        <v>Maersk Inverness</v>
      </c>
      <c r="I28" t="str">
        <f>"147"</f>
        <v>147</v>
      </c>
    </row>
    <row r="29" spans="1:9" x14ac:dyDescent="0.3">
      <c r="A29" t="s">
        <v>14</v>
      </c>
      <c r="D29" s="1" t="str">
        <f t="shared" si="0"/>
        <v>Charleston, SC</v>
      </c>
      <c r="F29" s="1" t="str">
        <f>"""BC Live Database"",""Gurrentz"",""50013"",""20"",""CHAS"",""1"",""OLIM"",""10"",""148"",""40"",""AU"""</f>
        <v>"BC Live Database","Gurrentz","50013","20","CHAS","1","OLIM","10","148","40","AU"</v>
      </c>
      <c r="G29" s="3">
        <v>44579</v>
      </c>
      <c r="H29" t="str">
        <f>"Olivia Maersk"</f>
        <v>Olivia Maersk</v>
      </c>
      <c r="I29" t="str">
        <f>"148"</f>
        <v>148</v>
      </c>
    </row>
    <row r="30" spans="1:9" x14ac:dyDescent="0.3">
      <c r="A30" t="s">
        <v>14</v>
      </c>
      <c r="D30" s="1" t="str">
        <f t="shared" si="0"/>
        <v>Charleston, SC</v>
      </c>
      <c r="F30" s="1" t="str">
        <f>"""BC Live Database"",""Gurrentz"",""50013"",""20"",""CHAS"",""1"",""OLIM"",""10"",""148"",""40"",""NZ"""</f>
        <v>"BC Live Database","Gurrentz","50013","20","CHAS","1","OLIM","10","148","40","NZ"</v>
      </c>
      <c r="G30" s="3">
        <v>44579</v>
      </c>
      <c r="H30" t="str">
        <f>"Olivia Maersk"</f>
        <v>Olivia Maersk</v>
      </c>
      <c r="I30" t="str">
        <f>"148"</f>
        <v>148</v>
      </c>
    </row>
    <row r="31" spans="1:9" x14ac:dyDescent="0.3">
      <c r="A31" t="s">
        <v>14</v>
      </c>
      <c r="D31" s="1" t="str">
        <f t="shared" si="0"/>
        <v>Charleston, SC</v>
      </c>
      <c r="F31" s="1" t="str">
        <f>"""BC Live Database"",""Gurrentz"",""50013"",""20"",""CHAS"",""1"",""SPSH"",""10"",""149"",""40"",""AU"""</f>
        <v>"BC Live Database","Gurrentz","50013","20","CHAS","1","SPSH","10","149","40","AU"</v>
      </c>
      <c r="G31" s="3">
        <v>44586</v>
      </c>
      <c r="H31" t="str">
        <f>"Spirit of Shanghai"</f>
        <v>Spirit of Shanghai</v>
      </c>
      <c r="I31" t="str">
        <f>"149"</f>
        <v>149</v>
      </c>
    </row>
    <row r="32" spans="1:9" x14ac:dyDescent="0.3">
      <c r="A32" t="s">
        <v>14</v>
      </c>
      <c r="D32" s="1" t="str">
        <f t="shared" si="0"/>
        <v>Charleston, SC</v>
      </c>
      <c r="F32" s="1" t="str">
        <f>"""BC Live Database"",""Gurrentz"",""50013"",""20"",""CHAS"",""1"",""SPSH"",""10"",""149"",""40"",""NZ"""</f>
        <v>"BC Live Database","Gurrentz","50013","20","CHAS","1","SPSH","10","149","40","NZ"</v>
      </c>
      <c r="G32" s="3">
        <v>44586</v>
      </c>
      <c r="H32" t="str">
        <f>"Spirit of Shanghai"</f>
        <v>Spirit of Shanghai</v>
      </c>
      <c r="I32" t="str">
        <f>"149"</f>
        <v>149</v>
      </c>
    </row>
    <row r="33" spans="1:9" x14ac:dyDescent="0.3">
      <c r="A33" t="s">
        <v>14</v>
      </c>
      <c r="D33" s="1" t="str">
        <f t="shared" si="0"/>
        <v>Charleston, SC</v>
      </c>
      <c r="F33" s="1" t="str">
        <f>"""BC Live Database"",""Gurrentz"",""50013"",""20"",""CHAS"",""1"",""SABA"",""10"",""150"",""40"",""AU"""</f>
        <v>"BC Live Database","Gurrentz","50013","20","CHAS","1","SABA","10","150","40","AU"</v>
      </c>
      <c r="G33" s="3">
        <v>44590</v>
      </c>
      <c r="H33" t="str">
        <f>"Safemarine Bayette"</f>
        <v>Safemarine Bayette</v>
      </c>
      <c r="I33" t="str">
        <f>"150"</f>
        <v>150</v>
      </c>
    </row>
    <row r="34" spans="1:9" x14ac:dyDescent="0.3">
      <c r="A34" t="s">
        <v>14</v>
      </c>
      <c r="D34" s="1" t="str">
        <f t="shared" si="0"/>
        <v>Charleston, SC</v>
      </c>
      <c r="F34" s="1" t="str">
        <f>"""BC Live Database"",""Gurrentz"",""50013"",""20"",""CHAS"",""1"",""SABA"",""10"",""150"",""40"",""NZ"""</f>
        <v>"BC Live Database","Gurrentz","50013","20","CHAS","1","SABA","10","150","40","NZ"</v>
      </c>
      <c r="G34" s="3">
        <v>44590</v>
      </c>
      <c r="H34" t="str">
        <f>"Safemarine Bayette"</f>
        <v>Safemarine Bayette</v>
      </c>
      <c r="I34" t="str">
        <f>"150"</f>
        <v>150</v>
      </c>
    </row>
    <row r="35" spans="1:9" x14ac:dyDescent="0.3">
      <c r="A35" t="s">
        <v>14</v>
      </c>
      <c r="D35" s="1" t="str">
        <f t="shared" si="0"/>
        <v>Charleston, SC</v>
      </c>
      <c r="F35" s="1" t="str">
        <f>"""BC Live Database"",""Gurrentz"",""50013"",""20"",""CHAS"",""1"",""SPSY"",""10"",""151"",""40"",""AU"""</f>
        <v>"BC Live Database","Gurrentz","50013","20","CHAS","1","SPSY","10","151","40","AU"</v>
      </c>
      <c r="G35" s="3">
        <v>44597</v>
      </c>
      <c r="H35" t="str">
        <f>"Spirit of Sydney"</f>
        <v>Spirit of Sydney</v>
      </c>
      <c r="I35" t="str">
        <f>"151"</f>
        <v>151</v>
      </c>
    </row>
    <row r="36" spans="1:9" x14ac:dyDescent="0.3">
      <c r="A36" t="s">
        <v>14</v>
      </c>
      <c r="D36" s="1" t="str">
        <f t="shared" si="0"/>
        <v>Charleston, SC</v>
      </c>
      <c r="F36" s="1" t="str">
        <f>"""BC Live Database"",""Gurrentz"",""50013"",""20"",""CHAS"",""1"",""SPSY"",""10"",""151"",""40"",""NZ"""</f>
        <v>"BC Live Database","Gurrentz","50013","20","CHAS","1","SPSY","10","151","40","NZ"</v>
      </c>
      <c r="G36" s="3">
        <v>44597</v>
      </c>
      <c r="H36" t="str">
        <f>"Spirit of Sydney"</f>
        <v>Spirit of Sydney</v>
      </c>
      <c r="I36" t="str">
        <f>"151"</f>
        <v>151</v>
      </c>
    </row>
    <row r="37" spans="1:9" x14ac:dyDescent="0.3">
      <c r="A37" t="s">
        <v>14</v>
      </c>
      <c r="D37" s="1" t="str">
        <f t="shared" si="0"/>
        <v>Charleston, SC</v>
      </c>
      <c r="F37" s="1" t="str">
        <f>"""BC Live Database"",""Gurrentz"",""50013"",""20"",""CHAS"",""1"",""OLFM"",""10"",""152"",""40"",""AU"""</f>
        <v>"BC Live Database","Gurrentz","50013","20","CHAS","1","OLFM","10","152","40","AU"</v>
      </c>
      <c r="G37" s="3">
        <v>44603</v>
      </c>
      <c r="H37" t="str">
        <f>"Oluf Maersk"</f>
        <v>Oluf Maersk</v>
      </c>
      <c r="I37" t="str">
        <f>"152"</f>
        <v>152</v>
      </c>
    </row>
    <row r="38" spans="1:9" x14ac:dyDescent="0.3">
      <c r="A38" t="s">
        <v>14</v>
      </c>
      <c r="D38" s="1" t="str">
        <f t="shared" si="0"/>
        <v>Charleston, SC</v>
      </c>
      <c r="F38" s="1" t="str">
        <f>"""BC Live Database"",""Gurrentz"",""50013"",""20"",""CHAS"",""1"",""OLFM"",""10"",""152"",""40"",""NZ"""</f>
        <v>"BC Live Database","Gurrentz","50013","20","CHAS","1","OLFM","10","152","40","NZ"</v>
      </c>
      <c r="G38" s="3">
        <v>44603</v>
      </c>
      <c r="H38" t="str">
        <f>"Oluf Maersk"</f>
        <v>Oluf Maersk</v>
      </c>
      <c r="I38" t="str">
        <f>"152"</f>
        <v>152</v>
      </c>
    </row>
    <row r="39" spans="1:9" x14ac:dyDescent="0.3">
      <c r="A39" t="s">
        <v>14</v>
      </c>
      <c r="D39" s="1" t="str">
        <f t="shared" si="0"/>
        <v>Charleston, SC</v>
      </c>
      <c r="F39" s="1" t="str">
        <f>"""BC Live Database"",""Gurrentz"",""50013"",""20"",""CHAS"",""1"",""SPAU"",""10"",""201"",""40"",""AU"""</f>
        <v>"BC Live Database","Gurrentz","50013","20","CHAS","1","SPAU","10","201","40","AU"</v>
      </c>
      <c r="G39" s="3">
        <v>44610</v>
      </c>
      <c r="H39" t="str">
        <f>"Spirit of Auckland"</f>
        <v>Spirit of Auckland</v>
      </c>
      <c r="I39" t="str">
        <f>"201"</f>
        <v>201</v>
      </c>
    </row>
    <row r="40" spans="1:9" x14ac:dyDescent="0.3">
      <c r="A40" t="s">
        <v>14</v>
      </c>
      <c r="D40" s="1" t="str">
        <f t="shared" si="0"/>
        <v>Charleston, SC</v>
      </c>
      <c r="F40" s="1" t="str">
        <f>"""BC Live Database"",""Gurrentz"",""50013"",""20"",""CHAS"",""1"",""SPAU"",""10"",""201"",""40"",""NZ"""</f>
        <v>"BC Live Database","Gurrentz","50013","20","CHAS","1","SPAU","10","201","40","NZ"</v>
      </c>
      <c r="G40" s="3">
        <v>44610</v>
      </c>
      <c r="H40" t="str">
        <f>"Spirit of Auckland"</f>
        <v>Spirit of Auckland</v>
      </c>
      <c r="I40" t="str">
        <f>"201"</f>
        <v>201</v>
      </c>
    </row>
    <row r="41" spans="1:9" x14ac:dyDescent="0.3">
      <c r="A41" t="s">
        <v>14</v>
      </c>
      <c r="D41" s="1" t="str">
        <f t="shared" si="0"/>
        <v>Charleston, SC</v>
      </c>
      <c r="F41" s="1" t="str">
        <f>"""BC Live Database"",""Gurrentz"",""50013"",""20"",""CHAS"",""1"",""OLGM"",""10"",""202"",""40"",""AU"""</f>
        <v>"BC Live Database","Gurrentz","50013","20","CHAS","1","OLGM","10","202","40","AU"</v>
      </c>
      <c r="G41" s="3">
        <v>44617</v>
      </c>
      <c r="H41" t="str">
        <f>"Olga Maersk"</f>
        <v>Olga Maersk</v>
      </c>
      <c r="I41" t="str">
        <f>"202"</f>
        <v>202</v>
      </c>
    </row>
    <row r="42" spans="1:9" x14ac:dyDescent="0.3">
      <c r="A42" t="s">
        <v>14</v>
      </c>
      <c r="D42" s="1" t="str">
        <f t="shared" si="0"/>
        <v>Charleston, SC</v>
      </c>
      <c r="F42" s="1" t="str">
        <f>"""BC Live Database"",""Gurrentz"",""50013"",""20"",""CHAS"",""1"",""OLGM"",""10"",""202"",""40"",""NZ"""</f>
        <v>"BC Live Database","Gurrentz","50013","20","CHAS","1","OLGM","10","202","40","NZ"</v>
      </c>
      <c r="G42" s="3">
        <v>44617</v>
      </c>
      <c r="H42" t="str">
        <f>"Olga Maersk"</f>
        <v>Olga Maersk</v>
      </c>
      <c r="I42" t="str">
        <f>"202"</f>
        <v>202</v>
      </c>
    </row>
    <row r="43" spans="1:9" x14ac:dyDescent="0.3">
      <c r="A43" t="s">
        <v>14</v>
      </c>
      <c r="D43" s="1" t="str">
        <f t="shared" si="0"/>
        <v>Charleston, SC</v>
      </c>
      <c r="F43" s="1" t="str">
        <f>"""BC Live Database"",""Gurrentz"",""50013"",""20"",""CHAS"",""1"",""MABI"",""10"",""204"",""40"",""AU"""</f>
        <v>"BC Live Database","Gurrentz","50013","20","CHAS","1","MABI","10","204","40","AU"</v>
      </c>
      <c r="G43" s="3">
        <v>44631</v>
      </c>
      <c r="H43" t="str">
        <f>"Maersk Bintan"</f>
        <v>Maersk Bintan</v>
      </c>
      <c r="I43" t="str">
        <f>"204"</f>
        <v>204</v>
      </c>
    </row>
    <row r="44" spans="1:9" x14ac:dyDescent="0.3">
      <c r="A44" t="s">
        <v>14</v>
      </c>
      <c r="D44" s="1" t="str">
        <f t="shared" si="0"/>
        <v>Charleston, SC</v>
      </c>
      <c r="F44" s="1" t="str">
        <f>"""BC Live Database"",""Gurrentz"",""50013"",""20"",""CHAS"",""1"",""MABI"",""10"",""204"",""40"",""NZ"""</f>
        <v>"BC Live Database","Gurrentz","50013","20","CHAS","1","MABI","10","204","40","NZ"</v>
      </c>
      <c r="G44" s="3">
        <v>44631</v>
      </c>
      <c r="H44" t="str">
        <f>"Maersk Bintan"</f>
        <v>Maersk Bintan</v>
      </c>
      <c r="I44" t="str">
        <f>"204"</f>
        <v>204</v>
      </c>
    </row>
    <row r="45" spans="1:9" x14ac:dyDescent="0.3">
      <c r="A45" t="s">
        <v>14</v>
      </c>
      <c r="D45" s="1" t="str">
        <f t="shared" si="0"/>
        <v>Charleston, SC</v>
      </c>
      <c r="F45" s="1" t="str">
        <f>"""BC Live Database"",""Gurrentz"",""50013"",""20"",""CHAS"",""1"",""BOGO"",""10"",""205"",""40"",""AU"""</f>
        <v>"BC Live Database","Gurrentz","50013","20","CHAS","1","BOGO","10","205","40","AU"</v>
      </c>
      <c r="G45" s="3">
        <v>44638</v>
      </c>
      <c r="H45" t="str">
        <f>"Maersk Bogor"</f>
        <v>Maersk Bogor</v>
      </c>
      <c r="I45" t="str">
        <f>"205"</f>
        <v>205</v>
      </c>
    </row>
    <row r="46" spans="1:9" x14ac:dyDescent="0.3">
      <c r="A46" t="s">
        <v>14</v>
      </c>
      <c r="D46" s="1" t="str">
        <f t="shared" si="0"/>
        <v>Charleston, SC</v>
      </c>
      <c r="F46" s="1" t="str">
        <f>"""BC Live Database"",""Gurrentz"",""50013"",""20"",""CHAS"",""1"",""BOGO"",""10"",""205"",""40"",""NZ"""</f>
        <v>"BC Live Database","Gurrentz","50013","20","CHAS","1","BOGO","10","205","40","NZ"</v>
      </c>
      <c r="G46" s="3">
        <v>44638</v>
      </c>
      <c r="H46" t="str">
        <f>"Maersk Bogor"</f>
        <v>Maersk Bogor</v>
      </c>
      <c r="I46" t="str">
        <f>"205"</f>
        <v>205</v>
      </c>
    </row>
    <row r="47" spans="1:9" x14ac:dyDescent="0.3">
      <c r="A47" t="s">
        <v>14</v>
      </c>
      <c r="D47" s="1" t="str">
        <f t="shared" si="0"/>
        <v>Charleston, SC</v>
      </c>
      <c r="F47" s="1" t="str">
        <f>"""BC Live Database"",""Gurrentz"",""50013"",""20"",""CHAS"",""1"",""SPME"",""10"",""203"",""40"",""AU"""</f>
        <v>"BC Live Database","Gurrentz","50013","20","CHAS","1","SPME","10","203","40","AU"</v>
      </c>
      <c r="G47" s="3">
        <v>44643</v>
      </c>
      <c r="H47" t="str">
        <f>"Spirit of Melbourne"</f>
        <v>Spirit of Melbourne</v>
      </c>
      <c r="I47" t="str">
        <f>"203"</f>
        <v>203</v>
      </c>
    </row>
    <row r="48" spans="1:9" x14ac:dyDescent="0.3">
      <c r="A48" t="s">
        <v>14</v>
      </c>
      <c r="D48" s="1" t="str">
        <f t="shared" si="0"/>
        <v>Charleston, SC</v>
      </c>
      <c r="F48" s="1" t="str">
        <f>"""BC Live Database"",""Gurrentz"",""50013"",""20"",""CHAS"",""1"",""SPME"",""10"",""203"",""40"",""NZ"""</f>
        <v>"BC Live Database","Gurrentz","50013","20","CHAS","1","SPME","10","203","40","NZ"</v>
      </c>
      <c r="G48" s="3">
        <v>44643</v>
      </c>
      <c r="H48" t="str">
        <f>"Spirit of Melbourne"</f>
        <v>Spirit of Melbourne</v>
      </c>
      <c r="I48" t="str">
        <f>"203"</f>
        <v>203</v>
      </c>
    </row>
    <row r="49" spans="1:9" x14ac:dyDescent="0.3">
      <c r="A49" t="s">
        <v>14</v>
      </c>
      <c r="D49" s="1" t="str">
        <f t="shared" si="0"/>
        <v>Charleston, SC</v>
      </c>
      <c r="F49" s="1" t="str">
        <f>"""BC Live Database"",""Gurrentz"",""50013"",""20"",""CHAS"",""1"",""MAIN"",""10"",""206"",""40"",""AU"""</f>
        <v>"BC Live Database","Gurrentz","50013","20","CHAS","1","MAIN","10","206","40","AU"</v>
      </c>
      <c r="G49" s="3">
        <v>44645</v>
      </c>
      <c r="H49" t="str">
        <f>"Maersk Inverness"</f>
        <v>Maersk Inverness</v>
      </c>
      <c r="I49" t="str">
        <f>"206"</f>
        <v>206</v>
      </c>
    </row>
    <row r="50" spans="1:9" x14ac:dyDescent="0.3">
      <c r="A50" t="s">
        <v>14</v>
      </c>
      <c r="D50" s="1" t="str">
        <f t="shared" si="0"/>
        <v>Charleston, SC</v>
      </c>
      <c r="F50" s="1" t="str">
        <f>"""BC Live Database"",""Gurrentz"",""50013"",""20"",""CHAS"",""1"",""MAIN"",""10"",""206"",""40"",""NZ"""</f>
        <v>"BC Live Database","Gurrentz","50013","20","CHAS","1","MAIN","10","206","40","NZ"</v>
      </c>
      <c r="G50" s="3">
        <v>44645</v>
      </c>
      <c r="H50" t="str">
        <f>"Maersk Inverness"</f>
        <v>Maersk Inverness</v>
      </c>
      <c r="I50" t="str">
        <f>"206"</f>
        <v>206</v>
      </c>
    </row>
    <row r="51" spans="1:9" x14ac:dyDescent="0.3">
      <c r="D51" s="1" t="str">
        <f>D6</f>
        <v>Charleston, SC</v>
      </c>
    </row>
    <row r="52" spans="1:9" x14ac:dyDescent="0.3">
      <c r="A52" t="s">
        <v>14</v>
      </c>
      <c r="D52" s="1" t="str">
        <f t="shared" ref="D52" si="1">E52</f>
        <v>Everglades, FL</v>
      </c>
      <c r="E52" t="str">
        <f>"Everglades, FL"</f>
        <v>Everglades, FL</v>
      </c>
      <c r="G52" t="s">
        <v>3</v>
      </c>
      <c r="H52" t="s">
        <v>4</v>
      </c>
      <c r="I52" t="s">
        <v>5</v>
      </c>
    </row>
    <row r="53" spans="1:9" x14ac:dyDescent="0.3">
      <c r="A53" t="s">
        <v>14</v>
      </c>
      <c r="D53" s="1" t="str">
        <f t="shared" ref="D53" si="2">D52</f>
        <v>Everglades, FL</v>
      </c>
      <c r="F53" s="1" t="str">
        <f>"""BC Live Database"",""Gurrentz"",""50013"",""20"",""EVER"",""1"",""SPHA"",""10"",""137"",""40"",""NZ"""</f>
        <v>"BC Live Database","Gurrentz","50013","20","EVER","1","SPHA","10","137","40","NZ"</v>
      </c>
      <c r="G53" s="3">
        <v>44468</v>
      </c>
      <c r="H53" t="str">
        <f>"Spirit of Hamburg"</f>
        <v>Spirit of Hamburg</v>
      </c>
      <c r="I53" t="str">
        <f>"137"</f>
        <v>137</v>
      </c>
    </row>
    <row r="54" spans="1:9" x14ac:dyDescent="0.3">
      <c r="A54" t="s">
        <v>14</v>
      </c>
      <c r="D54" s="1" t="str">
        <f t="shared" ref="D54:D96" si="3">D53</f>
        <v>Everglades, FL</v>
      </c>
      <c r="F54" s="1" t="str">
        <f>"""BC Live Database"",""Gurrentz"",""50013"",""20"",""EVER"",""1"",""MAIN"",""10"",""135"",""40"",""AU"""</f>
        <v>"BC Live Database","Gurrentz","50013","20","EVER","1","MAIN","10","135","40","AU"</v>
      </c>
      <c r="G54" s="3">
        <v>44489</v>
      </c>
      <c r="H54" t="str">
        <f>"Maersk Inverness"</f>
        <v>Maersk Inverness</v>
      </c>
      <c r="I54" t="str">
        <f>"135"</f>
        <v>135</v>
      </c>
    </row>
    <row r="55" spans="1:9" x14ac:dyDescent="0.3">
      <c r="A55" t="s">
        <v>14</v>
      </c>
      <c r="D55" s="1" t="str">
        <f t="shared" si="3"/>
        <v>Everglades, FL</v>
      </c>
      <c r="F55" s="1" t="str">
        <f>"""BC Live Database"",""Gurrentz"",""50013"",""20"",""EVER"",""1"",""MAIN"",""10"",""135"",""40"",""NZ"""</f>
        <v>"BC Live Database","Gurrentz","50013","20","EVER","1","MAIN","10","135","40","NZ"</v>
      </c>
      <c r="G55" s="3">
        <v>44489</v>
      </c>
      <c r="H55" t="str">
        <f>"Maersk Inverness"</f>
        <v>Maersk Inverness</v>
      </c>
      <c r="I55" t="str">
        <f>"135"</f>
        <v>135</v>
      </c>
    </row>
    <row r="56" spans="1:9" x14ac:dyDescent="0.3">
      <c r="A56" t="s">
        <v>14</v>
      </c>
      <c r="D56" s="1" t="str">
        <f t="shared" si="3"/>
        <v>Everglades, FL</v>
      </c>
      <c r="F56" s="1" t="str">
        <f>"""BC Live Database"",""Gurrentz"",""50013"",""20"",""EVER"",""1"",""RIMA"",""10"",""131"",""40"",""NZ"""</f>
        <v>"BC Live Database","Gurrentz","50013","20","EVER","1","RIMA","10","131","40","NZ"</v>
      </c>
      <c r="G56" s="3">
        <v>44491</v>
      </c>
      <c r="H56" t="str">
        <f>"Rio Madeira"</f>
        <v>Rio Madeira</v>
      </c>
      <c r="I56" t="str">
        <f>"131"</f>
        <v>131</v>
      </c>
    </row>
    <row r="57" spans="1:9" x14ac:dyDescent="0.3">
      <c r="A57" t="s">
        <v>14</v>
      </c>
      <c r="D57" s="1" t="str">
        <f t="shared" si="3"/>
        <v>Everglades, FL</v>
      </c>
      <c r="F57" s="1" t="str">
        <f>"""BC Live Database"",""Gurrentz"",""50013"",""20"",""EVER"",""1"",""MASY"",""10"",""136"",""40"",""NZ"""</f>
        <v>"BC Live Database","Gurrentz","50013","20","EVER","1","MASY","10","136","40","NZ"</v>
      </c>
      <c r="G57" s="3">
        <v>44492</v>
      </c>
      <c r="H57" t="str">
        <f>"Maersk Sydney"</f>
        <v>Maersk Sydney</v>
      </c>
      <c r="I57" t="str">
        <f>"136"</f>
        <v>136</v>
      </c>
    </row>
    <row r="58" spans="1:9" x14ac:dyDescent="0.3">
      <c r="A58" t="s">
        <v>14</v>
      </c>
      <c r="D58" s="1" t="str">
        <f t="shared" si="3"/>
        <v>Everglades, FL</v>
      </c>
      <c r="F58" s="1" t="str">
        <f>"""BC Live Database"",""Gurrentz"",""50013"",""20"",""EVER"",""1"",""DUEX"",""10"",""142"",""40"",""NZ"""</f>
        <v>"BC Live Database","Gurrentz","50013","20","EVER","1","DUEX","10","142","40","NZ"</v>
      </c>
      <c r="G58" s="3">
        <v>44494</v>
      </c>
      <c r="H58" t="str">
        <f>"Dublin Express"</f>
        <v>Dublin Express</v>
      </c>
      <c r="I58" t="str">
        <f>"142"</f>
        <v>142</v>
      </c>
    </row>
    <row r="59" spans="1:9" x14ac:dyDescent="0.3">
      <c r="A59" t="s">
        <v>14</v>
      </c>
      <c r="D59" s="1" t="str">
        <f t="shared" si="3"/>
        <v>Everglades, FL</v>
      </c>
      <c r="F59" s="1" t="str">
        <f>"""BC Live Database"",""Gurrentz"",""50013"",""20"",""EVER"",""1"",""MAGA"",""10"",""141"",""40"",""NZ"""</f>
        <v>"BC Live Database","Gurrentz","50013","20","EVER","1","MAGA","10","141","40","NZ"</v>
      </c>
      <c r="G59" s="3">
        <v>44496</v>
      </c>
      <c r="H59" t="str">
        <f>"Maersk Gateshead"</f>
        <v>Maersk Gateshead</v>
      </c>
      <c r="I59" t="str">
        <f>"141"</f>
        <v>141</v>
      </c>
    </row>
    <row r="60" spans="1:9" x14ac:dyDescent="0.3">
      <c r="A60" t="s">
        <v>14</v>
      </c>
      <c r="D60" s="1" t="str">
        <f t="shared" si="3"/>
        <v>Everglades, FL</v>
      </c>
      <c r="F60" s="1" t="str">
        <f>"""BC Live Database"",""Gurrentz"",""50013"",""20"",""EVER"",""1"",""ARMA"",""10"",""135"",""40"",""NZ"""</f>
        <v>"BC Live Database","Gurrentz","50013","20","EVER","1","ARMA","10","135","40","NZ"</v>
      </c>
      <c r="G60" s="3">
        <v>44497</v>
      </c>
      <c r="H60" t="str">
        <f>"Arnold Maersk"</f>
        <v>Arnold Maersk</v>
      </c>
      <c r="I60" t="str">
        <f>"135"</f>
        <v>135</v>
      </c>
    </row>
    <row r="61" spans="1:9" x14ac:dyDescent="0.3">
      <c r="A61" t="s">
        <v>14</v>
      </c>
      <c r="D61" s="1" t="str">
        <f t="shared" si="3"/>
        <v>Everglades, FL</v>
      </c>
      <c r="F61" s="1" t="str">
        <f>"""BC Live Database"",""Gurrentz"",""50013"",""20"",""EVER"",""1"",""BFLE"",""10"",""022"",""40"",""NZ"""</f>
        <v>"BC Live Database","Gurrentz","50013","20","EVER","1","BFLE","10","022","40","NZ"</v>
      </c>
      <c r="G61" s="3">
        <v>44498</v>
      </c>
      <c r="H61" t="str">
        <f>"BF Leticia "</f>
        <v xml:space="preserve">BF Leticia </v>
      </c>
      <c r="I61" t="str">
        <f>"022"</f>
        <v>022</v>
      </c>
    </row>
    <row r="62" spans="1:9" x14ac:dyDescent="0.3">
      <c r="A62" t="s">
        <v>14</v>
      </c>
      <c r="D62" s="1" t="str">
        <f t="shared" si="3"/>
        <v>Everglades, FL</v>
      </c>
      <c r="F62" s="1" t="str">
        <f>"""BC Live Database"",""Gurrentz"",""50013"",""20"",""EVER"",""1"",""NOPA"",""10"",""1534"",""40"",""NZ"""</f>
        <v>"BC Live Database","Gurrentz","50013","20","EVER","1","NOPA","10","1534","40","NZ"</v>
      </c>
      <c r="G62" s="3">
        <v>44501</v>
      </c>
      <c r="H62" t="str">
        <f>"Nordpacific"</f>
        <v>Nordpacific</v>
      </c>
      <c r="I62" t="str">
        <f>"1534"</f>
        <v>1534</v>
      </c>
    </row>
    <row r="63" spans="1:9" x14ac:dyDescent="0.3">
      <c r="A63" t="s">
        <v>14</v>
      </c>
      <c r="D63" s="1" t="str">
        <f t="shared" si="3"/>
        <v>Everglades, FL</v>
      </c>
      <c r="F63" s="1" t="str">
        <f>"""BC Live Database"",""Gurrentz"",""50013"",""20"",""EVER"",""1"",""SPHA"",""10"",""143"",""40"",""NZ"""</f>
        <v>"BC Live Database","Gurrentz","50013","20","EVER","1","SPHA","10","143","40","NZ"</v>
      </c>
      <c r="G63" s="3">
        <v>44502</v>
      </c>
      <c r="H63" t="str">
        <f>"Spirit of Hamburg"</f>
        <v>Spirit of Hamburg</v>
      </c>
      <c r="I63" t="str">
        <f>"143"</f>
        <v>143</v>
      </c>
    </row>
    <row r="64" spans="1:9" x14ac:dyDescent="0.3">
      <c r="A64" t="s">
        <v>14</v>
      </c>
      <c r="D64" s="1" t="str">
        <f t="shared" si="3"/>
        <v>Everglades, FL</v>
      </c>
      <c r="F64" s="1" t="str">
        <f>"""BC Live Database"",""Gurrentz"",""50013"",""20"",""EVER"",""1"",""SABA"",""10"",""139"",""40"",""AU"""</f>
        <v>"BC Live Database","Gurrentz","50013","20","EVER","1","SABA","10","139","40","AU"</v>
      </c>
      <c r="G64" s="3">
        <v>44503</v>
      </c>
      <c r="H64" t="str">
        <f>"Safemarine Bayette"</f>
        <v>Safemarine Bayette</v>
      </c>
      <c r="I64" t="str">
        <f>"139"</f>
        <v>139</v>
      </c>
    </row>
    <row r="65" spans="1:9" x14ac:dyDescent="0.3">
      <c r="A65" t="s">
        <v>14</v>
      </c>
      <c r="D65" s="1" t="str">
        <f t="shared" si="3"/>
        <v>Everglades, FL</v>
      </c>
      <c r="F65" s="1" t="str">
        <f>"""BC Live Database"",""Gurrentz"",""50013"",""20"",""EVER"",""1"",""SABA"",""10"",""139"",""40"",""NZ"""</f>
        <v>"BC Live Database","Gurrentz","50013","20","EVER","1","SABA","10","139","40","NZ"</v>
      </c>
      <c r="G65" s="3">
        <v>44503</v>
      </c>
      <c r="H65" t="str">
        <f>"Safemarine Bayette"</f>
        <v>Safemarine Bayette</v>
      </c>
      <c r="I65" t="str">
        <f>"139"</f>
        <v>139</v>
      </c>
    </row>
    <row r="66" spans="1:9" x14ac:dyDescent="0.3">
      <c r="A66" t="s">
        <v>14</v>
      </c>
      <c r="D66" s="1" t="str">
        <f t="shared" si="3"/>
        <v>Everglades, FL</v>
      </c>
      <c r="F66" s="1" t="str">
        <f>"""BC Live Database"",""Gurrentz"",""50013"",""20"",""EVER"",""1"",""MAGA"",""10"",""144"",""40"",""NZ"""</f>
        <v>"BC Live Database","Gurrentz","50013","20","EVER","1","MAGA","10","144","40","NZ"</v>
      </c>
      <c r="G66" s="3">
        <v>44508</v>
      </c>
      <c r="H66" t="str">
        <f>"Maersk Gateshead"</f>
        <v>Maersk Gateshead</v>
      </c>
      <c r="I66" t="str">
        <f>"144"</f>
        <v>144</v>
      </c>
    </row>
    <row r="67" spans="1:9" x14ac:dyDescent="0.3">
      <c r="A67" t="s">
        <v>14</v>
      </c>
      <c r="D67" s="1" t="str">
        <f t="shared" si="3"/>
        <v>Everglades, FL</v>
      </c>
      <c r="F67" s="1" t="str">
        <f>"""BC Live Database"",""Gurrentz"",""50013"",""20"",""EVER"",""1"",""OLIM"",""10"",""136"",""40"",""NZ"""</f>
        <v>"BC Live Database","Gurrentz","50013","20","EVER","1","OLIM","10","136","40","NZ"</v>
      </c>
      <c r="G67" s="3">
        <v>44508</v>
      </c>
      <c r="H67" t="str">
        <f>"Olivia Maersk"</f>
        <v>Olivia Maersk</v>
      </c>
      <c r="I67" t="str">
        <f>"136"</f>
        <v>136</v>
      </c>
    </row>
    <row r="68" spans="1:9" x14ac:dyDescent="0.3">
      <c r="A68" t="s">
        <v>14</v>
      </c>
      <c r="D68" s="1" t="str">
        <f t="shared" si="3"/>
        <v>Everglades, FL</v>
      </c>
      <c r="F68" s="1" t="str">
        <f>"""BC Live Database"",""Gurrentz"",""50013"",""20"",""EVER"",""1"",""SPSH"",""10"",""137"",""40"",""AU"""</f>
        <v>"BC Live Database","Gurrentz","50013","20","EVER","1","SPSH","10","137","40","AU"</v>
      </c>
      <c r="G68" s="3">
        <v>44508</v>
      </c>
      <c r="H68" t="str">
        <f>"Spirit of Shanghai"</f>
        <v>Spirit of Shanghai</v>
      </c>
      <c r="I68" t="str">
        <f>"137"</f>
        <v>137</v>
      </c>
    </row>
    <row r="69" spans="1:9" x14ac:dyDescent="0.3">
      <c r="A69" t="s">
        <v>14</v>
      </c>
      <c r="D69" s="1" t="str">
        <f t="shared" si="3"/>
        <v>Everglades, FL</v>
      </c>
      <c r="F69" s="1" t="str">
        <f>"""BC Live Database"",""Gurrentz"",""50013"",""20"",""EVER"",""1"",""SPSH"",""10"",""137"",""40"",""NZ"""</f>
        <v>"BC Live Database","Gurrentz","50013","20","EVER","1","SPSH","10","137","40","NZ"</v>
      </c>
      <c r="G69" s="3">
        <v>44508</v>
      </c>
      <c r="H69" t="str">
        <f>"Spirit of Shanghai"</f>
        <v>Spirit of Shanghai</v>
      </c>
      <c r="I69" t="str">
        <f>"137"</f>
        <v>137</v>
      </c>
    </row>
    <row r="70" spans="1:9" x14ac:dyDescent="0.3">
      <c r="A70" t="s">
        <v>14</v>
      </c>
      <c r="D70" s="1" t="str">
        <f t="shared" si="3"/>
        <v>Everglades, FL</v>
      </c>
      <c r="F70" s="1" t="str">
        <f>"""BC Live Database"",""Gurrentz"",""50013"",""20"",""EVER"",""1"",""RIBL"",""10"",""132"",""40"",""NZ"""</f>
        <v>"BC Live Database","Gurrentz","50013","20","EVER","1","RIBL","10","132","40","NZ"</v>
      </c>
      <c r="G70" s="3">
        <v>44513</v>
      </c>
      <c r="H70" t="str">
        <f>"Rio Blanco"</f>
        <v>Rio Blanco</v>
      </c>
      <c r="I70" t="str">
        <f>"132"</f>
        <v>132</v>
      </c>
    </row>
    <row r="71" spans="1:9" x14ac:dyDescent="0.3">
      <c r="A71" t="s">
        <v>14</v>
      </c>
      <c r="D71" s="1" t="str">
        <f t="shared" si="3"/>
        <v>Everglades, FL</v>
      </c>
      <c r="F71" s="1" t="str">
        <f>"""BC Live Database"",""Gurrentz"",""50013"",""20"",""EVER"",""1"",""DUEX"",""10"",""145"",""40"",""NZ"""</f>
        <v>"BC Live Database","Gurrentz","50013","20","EVER","1","DUEX","10","145","40","NZ"</v>
      </c>
      <c r="G71" s="3">
        <v>44515</v>
      </c>
      <c r="H71" t="str">
        <f>"Dublin Express"</f>
        <v>Dublin Express</v>
      </c>
      <c r="I71" t="str">
        <f>"145"</f>
        <v>145</v>
      </c>
    </row>
    <row r="72" spans="1:9" x14ac:dyDescent="0.3">
      <c r="A72" t="s">
        <v>14</v>
      </c>
      <c r="D72" s="1" t="str">
        <f t="shared" si="3"/>
        <v>Everglades, FL</v>
      </c>
      <c r="F72" s="1" t="str">
        <f>"""BC Live Database"",""Gurrentz"",""50013"",""20"",""EVER"",""1"",""SPHA"",""10"",""146"",""40"",""NZ"""</f>
        <v>"BC Live Database","Gurrentz","50013","20","EVER","1","SPHA","10","146","40","NZ"</v>
      </c>
      <c r="G72" s="3">
        <v>44522</v>
      </c>
      <c r="H72" t="str">
        <f>"Spirit of Hamburg"</f>
        <v>Spirit of Hamburg</v>
      </c>
      <c r="I72" t="str">
        <f>"146"</f>
        <v>146</v>
      </c>
    </row>
    <row r="73" spans="1:9" x14ac:dyDescent="0.3">
      <c r="A73" t="s">
        <v>14</v>
      </c>
      <c r="D73" s="1" t="str">
        <f t="shared" si="3"/>
        <v>Everglades, FL</v>
      </c>
      <c r="F73" s="1" t="str">
        <f>"""BC Live Database"",""Gurrentz"",""50013"",""20"",""EVER"",""1"",""HASA"",""10"",""146"",""40"",""NZ"""</f>
        <v>"BC Live Database","Gurrentz","50013","20","EVER","1","HASA","10","146","40","NZ"</v>
      </c>
      <c r="G73" s="3">
        <v>44523</v>
      </c>
      <c r="H73" t="str">
        <f>"Hansa Salzburg"</f>
        <v>Hansa Salzburg</v>
      </c>
      <c r="I73" t="str">
        <f>"146"</f>
        <v>146</v>
      </c>
    </row>
    <row r="74" spans="1:9" x14ac:dyDescent="0.3">
      <c r="A74" t="s">
        <v>14</v>
      </c>
      <c r="D74" s="1" t="str">
        <f t="shared" si="3"/>
        <v>Everglades, FL</v>
      </c>
      <c r="F74" s="1" t="str">
        <f>"""BC Live Database"",""Gurrentz"",""50013"",""20"",""EVER"",""1"",""MARU"",""10"",""1534"",""40"",""AU"""</f>
        <v>"BC Live Database","Gurrentz","50013","20","EVER","1","MARU","10","1534","40","AU"</v>
      </c>
      <c r="G74" s="3">
        <v>44528</v>
      </c>
      <c r="H74" t="str">
        <f>"Marius"</f>
        <v>Marius</v>
      </c>
      <c r="I74" t="str">
        <f>"1534"</f>
        <v>1534</v>
      </c>
    </row>
    <row r="75" spans="1:9" x14ac:dyDescent="0.3">
      <c r="A75" t="s">
        <v>14</v>
      </c>
      <c r="D75" s="1" t="str">
        <f t="shared" si="3"/>
        <v>Everglades, FL</v>
      </c>
      <c r="F75" s="1" t="str">
        <f>"""BC Live Database"",""Gurrentz"",""50013"",""20"",""EVER"",""1"",""MARU"",""10"",""1534"",""40"",""NZ"""</f>
        <v>"BC Live Database","Gurrentz","50013","20","EVER","1","MARU","10","1534","40","NZ"</v>
      </c>
      <c r="G75" s="3">
        <v>44528</v>
      </c>
      <c r="H75" t="str">
        <f>"Marius"</f>
        <v>Marius</v>
      </c>
      <c r="I75" t="str">
        <f>"1534"</f>
        <v>1534</v>
      </c>
    </row>
    <row r="76" spans="1:9" x14ac:dyDescent="0.3">
      <c r="A76" t="s">
        <v>14</v>
      </c>
      <c r="D76" s="1" t="str">
        <f t="shared" si="3"/>
        <v>Everglades, FL</v>
      </c>
      <c r="F76" s="1" t="str">
        <f>"""BC Live Database"",""Gurrentz"",""50013"",""20"",""EVER"",""1"",""SPSY"",""10"",""140"",""40"",""AU"""</f>
        <v>"BC Live Database","Gurrentz","50013","20","EVER","1","SPSY","10","140","40","AU"</v>
      </c>
      <c r="G76" s="3">
        <v>44528</v>
      </c>
      <c r="H76" t="str">
        <f>"Spirit of Sydney"</f>
        <v>Spirit of Sydney</v>
      </c>
      <c r="I76" t="str">
        <f>"140"</f>
        <v>140</v>
      </c>
    </row>
    <row r="77" spans="1:9" x14ac:dyDescent="0.3">
      <c r="A77" t="s">
        <v>14</v>
      </c>
      <c r="D77" s="1" t="str">
        <f t="shared" si="3"/>
        <v>Everglades, FL</v>
      </c>
      <c r="F77" s="1" t="str">
        <f>"""BC Live Database"",""Gurrentz"",""50013"",""20"",""EVER"",""1"",""SPSY"",""10"",""140"",""40"",""NZ"""</f>
        <v>"BC Live Database","Gurrentz","50013","20","EVER","1","SPSY","10","140","40","NZ"</v>
      </c>
      <c r="G77" s="3">
        <v>44528</v>
      </c>
      <c r="H77" t="str">
        <f>"Spirit of Sydney"</f>
        <v>Spirit of Sydney</v>
      </c>
      <c r="I77" t="str">
        <f>"140"</f>
        <v>140</v>
      </c>
    </row>
    <row r="78" spans="1:9" x14ac:dyDescent="0.3">
      <c r="A78" t="s">
        <v>14</v>
      </c>
      <c r="D78" s="1" t="str">
        <f t="shared" si="3"/>
        <v>Everglades, FL</v>
      </c>
      <c r="F78" s="1" t="str">
        <f>"""BC Live Database"",""Gurrentz"",""50013"",""20"",""EVER"",""1"",""MAGA"",""10"",""147"",""40"",""NZ"""</f>
        <v>"BC Live Database","Gurrentz","50013","20","EVER","1","MAGA","10","147","40","NZ"</v>
      </c>
      <c r="G78" s="3">
        <v>44529</v>
      </c>
      <c r="H78" t="str">
        <f>"Maersk Gateshead"</f>
        <v>Maersk Gateshead</v>
      </c>
      <c r="I78" t="str">
        <f>"147"</f>
        <v>147</v>
      </c>
    </row>
    <row r="79" spans="1:9" x14ac:dyDescent="0.3">
      <c r="A79" t="s">
        <v>14</v>
      </c>
      <c r="D79" s="1" t="str">
        <f t="shared" si="3"/>
        <v>Everglades, FL</v>
      </c>
      <c r="F79" s="1" t="str">
        <f>"""BC Live Database"",""Gurrentz"",""50013"",""20"",""EVER"",""1"",""OLFM"",""10"",""141"",""40"",""AU"""</f>
        <v>"BC Live Database","Gurrentz","50013","20","EVER","1","OLFM","10","141","40","AU"</v>
      </c>
      <c r="G79" s="3">
        <v>44529</v>
      </c>
      <c r="H79" t="str">
        <f>"Oluf Maersk"</f>
        <v>Oluf Maersk</v>
      </c>
      <c r="I79" t="str">
        <f>"141"</f>
        <v>141</v>
      </c>
    </row>
    <row r="80" spans="1:9" x14ac:dyDescent="0.3">
      <c r="A80" t="s">
        <v>14</v>
      </c>
      <c r="D80" s="1" t="str">
        <f t="shared" si="3"/>
        <v>Everglades, FL</v>
      </c>
      <c r="F80" s="1" t="str">
        <f>"""BC Live Database"",""Gurrentz"",""50013"",""20"",""EVER"",""1"",""OLFM"",""10"",""141"",""40"",""NZ"""</f>
        <v>"BC Live Database","Gurrentz","50013","20","EVER","1","OLFM","10","141","40","NZ"</v>
      </c>
      <c r="G80" s="3">
        <v>44529</v>
      </c>
      <c r="H80" t="str">
        <f>"Oluf Maersk"</f>
        <v>Oluf Maersk</v>
      </c>
      <c r="I80" t="str">
        <f>"141"</f>
        <v>141</v>
      </c>
    </row>
    <row r="81" spans="1:9" x14ac:dyDescent="0.3">
      <c r="A81" t="s">
        <v>14</v>
      </c>
      <c r="D81" s="1" t="str">
        <f t="shared" si="3"/>
        <v>Everglades, FL</v>
      </c>
      <c r="F81" s="1" t="str">
        <f>"""BC Live Database"",""Gurrentz"",""50013"",""20"",""EVER"",""1"",""PEMO"",""10"",""2148"",""40"",""NZ"""</f>
        <v>"BC Live Database","Gurrentz","50013","20","EVER","1","PEMO","10","2148","40","NZ"</v>
      </c>
      <c r="G81" s="3">
        <v>44534</v>
      </c>
      <c r="H81" t="str">
        <f>"Perito Moreno"</f>
        <v>Perito Moreno</v>
      </c>
      <c r="I81" t="str">
        <f>"2148"</f>
        <v>2148</v>
      </c>
    </row>
    <row r="82" spans="1:9" x14ac:dyDescent="0.3">
      <c r="A82" t="s">
        <v>14</v>
      </c>
      <c r="D82" s="1" t="str">
        <f t="shared" si="3"/>
        <v>Everglades, FL</v>
      </c>
      <c r="F82" s="1" t="str">
        <f>"""BC Live Database"",""Gurrentz"",""50013"",""20"",""EVER"",""1"",""MAGA"",""10"",""148"",""40"",""NZ"""</f>
        <v>"BC Live Database","Gurrentz","50013","20","EVER","1","MAGA","10","148","40","NZ"</v>
      </c>
      <c r="G82" s="3">
        <v>44538</v>
      </c>
      <c r="H82" t="str">
        <f>"Maersk Gateshead"</f>
        <v>Maersk Gateshead</v>
      </c>
      <c r="I82" t="str">
        <f>"148"</f>
        <v>148</v>
      </c>
    </row>
    <row r="83" spans="1:9" x14ac:dyDescent="0.3">
      <c r="A83" t="s">
        <v>14</v>
      </c>
      <c r="D83" s="1" t="str">
        <f t="shared" si="3"/>
        <v>Everglades, FL</v>
      </c>
      <c r="F83" s="1" t="str">
        <f>"""BC Live Database"",""Gurrentz"",""50013"",""20"",""EVER"",""1"",""CONS"",""10"",""149"",""40"",""NZ"""</f>
        <v>"BC Live Database","Gurrentz","50013","20","EVER","1","CONS","10","149","40","NZ"</v>
      </c>
      <c r="G83" s="3">
        <v>44543</v>
      </c>
      <c r="H83" t="str">
        <f>"Constantinos "</f>
        <v xml:space="preserve">Constantinos </v>
      </c>
      <c r="I83" t="str">
        <f>"149"</f>
        <v>149</v>
      </c>
    </row>
    <row r="84" spans="1:9" x14ac:dyDescent="0.3">
      <c r="A84" t="s">
        <v>14</v>
      </c>
      <c r="D84" s="1" t="str">
        <f t="shared" si="3"/>
        <v>Everglades, FL</v>
      </c>
      <c r="F84" s="1" t="str">
        <f>"""BC Live Database"",""Gurrentz"",""50013"",""20"",""EVER"",""1"",""OLGM"",""10"",""143"",""40"",""AU"""</f>
        <v>"BC Live Database","Gurrentz","50013","20","EVER","1","OLGM","10","143","40","AU"</v>
      </c>
      <c r="G84" s="3">
        <v>44543</v>
      </c>
      <c r="H84" t="str">
        <f>"Olga Maersk"</f>
        <v>Olga Maersk</v>
      </c>
      <c r="I84" t="str">
        <f>"143"</f>
        <v>143</v>
      </c>
    </row>
    <row r="85" spans="1:9" x14ac:dyDescent="0.3">
      <c r="A85" t="s">
        <v>14</v>
      </c>
      <c r="D85" s="1" t="str">
        <f t="shared" si="3"/>
        <v>Everglades, FL</v>
      </c>
      <c r="F85" s="1" t="str">
        <f>"""BC Live Database"",""Gurrentz"",""50013"",""20"",""EVER"",""1"",""OLGM"",""10"",""143"",""40"",""NZ"""</f>
        <v>"BC Live Database","Gurrentz","50013","20","EVER","1","OLGM","10","143","40","NZ"</v>
      </c>
      <c r="G85" s="3">
        <v>44543</v>
      </c>
      <c r="H85" t="str">
        <f>"Olga Maersk"</f>
        <v>Olga Maersk</v>
      </c>
      <c r="I85" t="str">
        <f>"143"</f>
        <v>143</v>
      </c>
    </row>
    <row r="86" spans="1:9" x14ac:dyDescent="0.3">
      <c r="A86" t="s">
        <v>14</v>
      </c>
      <c r="D86" s="1" t="str">
        <f t="shared" si="3"/>
        <v>Everglades, FL</v>
      </c>
      <c r="F86" s="1" t="str">
        <f>"""BC Live Database"",""Gurrentz"",""50013"",""20"",""EVER"",""1"",""GATE"",""10"",""145"",""40"",""NZ"""</f>
        <v>"BC Live Database","Gurrentz","50013","20","EVER","1","GATE","10","145","40","NZ"</v>
      </c>
      <c r="G86" s="3">
        <v>44550</v>
      </c>
      <c r="H86" t="str">
        <f>"Maersk Gateshead"</f>
        <v>Maersk Gateshead</v>
      </c>
      <c r="I86" t="str">
        <f>"145"</f>
        <v>145</v>
      </c>
    </row>
    <row r="87" spans="1:9" x14ac:dyDescent="0.3">
      <c r="A87" t="s">
        <v>14</v>
      </c>
      <c r="D87" s="1" t="str">
        <f t="shared" si="3"/>
        <v>Everglades, FL</v>
      </c>
      <c r="F87" s="1" t="str">
        <f>"""BC Live Database"",""Gurrentz"",""50013"",""20"",""EVER"",""1"",""MAGA"",""10"",""150"",""40"",""NZ"""</f>
        <v>"BC Live Database","Gurrentz","50013","20","EVER","1","MAGA","10","150","40","NZ"</v>
      </c>
      <c r="G87" s="3">
        <v>44550</v>
      </c>
      <c r="H87" t="str">
        <f>"Maersk Gateshead"</f>
        <v>Maersk Gateshead</v>
      </c>
      <c r="I87" t="str">
        <f>"150"</f>
        <v>150</v>
      </c>
    </row>
    <row r="88" spans="1:9" x14ac:dyDescent="0.3">
      <c r="A88" t="s">
        <v>14</v>
      </c>
      <c r="D88" s="1" t="str">
        <f t="shared" si="3"/>
        <v>Everglades, FL</v>
      </c>
      <c r="F88" s="1" t="str">
        <f>"""BC Live Database"",""Gurrentz"",""50013"",""20"",""EVER"",""1"",""MABI"",""10"",""145"",""40"",""AU"""</f>
        <v>"BC Live Database","Gurrentz","50013","20","EVER","1","MABI","10","145","40","AU"</v>
      </c>
      <c r="G88" s="3">
        <v>44557</v>
      </c>
      <c r="H88" t="str">
        <f>"Maersk Bintan"</f>
        <v>Maersk Bintan</v>
      </c>
      <c r="I88" t="str">
        <f>"145"</f>
        <v>145</v>
      </c>
    </row>
    <row r="89" spans="1:9" x14ac:dyDescent="0.3">
      <c r="A89" t="s">
        <v>14</v>
      </c>
      <c r="D89" s="1" t="str">
        <f t="shared" si="3"/>
        <v>Everglades, FL</v>
      </c>
      <c r="F89" s="1" t="str">
        <f>"""BC Live Database"",""Gurrentz"",""50013"",""20"",""EVER"",""1"",""MABI"",""10"",""145"",""40"",""NZ"""</f>
        <v>"BC Live Database","Gurrentz","50013","20","EVER","1","MABI","10","145","40","NZ"</v>
      </c>
      <c r="G89" s="3">
        <v>44557</v>
      </c>
      <c r="H89" t="str">
        <f>"Maersk Bintan"</f>
        <v>Maersk Bintan</v>
      </c>
      <c r="I89" t="str">
        <f>"145"</f>
        <v>145</v>
      </c>
    </row>
    <row r="90" spans="1:9" x14ac:dyDescent="0.3">
      <c r="A90" t="s">
        <v>14</v>
      </c>
      <c r="D90" s="1" t="str">
        <f t="shared" si="3"/>
        <v>Everglades, FL</v>
      </c>
      <c r="F90" s="1" t="str">
        <f>"""BC Live Database"",""Gurrentz"",""50013"",""20"",""EVER"",""1"",""SPME"",""10"",""144"",""40"",""NZ"""</f>
        <v>"BC Live Database","Gurrentz","50013","20","EVER","1","SPME","10","144","40","NZ"</v>
      </c>
      <c r="G90" s="3">
        <v>44557</v>
      </c>
      <c r="H90" t="str">
        <f>"Spirit of Melbourne"</f>
        <v>Spirit of Melbourne</v>
      </c>
      <c r="I90" t="str">
        <f>"144"</f>
        <v>144</v>
      </c>
    </row>
    <row r="91" spans="1:9" x14ac:dyDescent="0.3">
      <c r="A91" t="s">
        <v>14</v>
      </c>
      <c r="D91" s="1" t="str">
        <f t="shared" si="3"/>
        <v>Everglades, FL</v>
      </c>
      <c r="F91" s="1" t="str">
        <f>"""BC Live Database"",""Gurrentz"",""50013"",""20"",""EVER"",""1"",""VEEX"",""10"",""149"",""40"",""NZ"""</f>
        <v>"BC Live Database","Gurrentz","50013","20","EVER","1","VEEX","10","149","40","NZ"</v>
      </c>
      <c r="G91" s="3">
        <v>44557</v>
      </c>
      <c r="H91" t="str">
        <f>"Velika Express"</f>
        <v>Velika Express</v>
      </c>
      <c r="I91" t="str">
        <f>"149"</f>
        <v>149</v>
      </c>
    </row>
    <row r="92" spans="1:9" x14ac:dyDescent="0.3">
      <c r="A92" t="s">
        <v>14</v>
      </c>
      <c r="D92" s="1" t="str">
        <f t="shared" si="3"/>
        <v>Everglades, FL</v>
      </c>
      <c r="F92" s="1" t="str">
        <f>"""BC Live Database"",""Gurrentz"",""50013"",""20"",""EVER"",""1"",""VEEX"",""10"",""151"",""40"",""NZ"""</f>
        <v>"BC Live Database","Gurrentz","50013","20","EVER","1","VEEX","10","151","40","NZ"</v>
      </c>
      <c r="G92" s="3">
        <v>44568</v>
      </c>
      <c r="H92" t="str">
        <f>"Velika Express"</f>
        <v>Velika Express</v>
      </c>
      <c r="I92" t="str">
        <f>"151"</f>
        <v>151</v>
      </c>
    </row>
    <row r="93" spans="1:9" x14ac:dyDescent="0.3">
      <c r="A93" t="s">
        <v>14</v>
      </c>
      <c r="D93" s="1" t="str">
        <f t="shared" si="3"/>
        <v>Everglades, FL</v>
      </c>
      <c r="F93" s="1" t="str">
        <f>"""BC Live Database"",""Gurrentz"",""50013"",""20"",""EVER"",""1"",""SPSY"",""10"",""151"",""40"",""NZ"""</f>
        <v>"BC Live Database","Gurrentz","50013","20","EVER","1","SPSY","10","151","40","NZ"</v>
      </c>
      <c r="G93" s="3">
        <v>44599</v>
      </c>
      <c r="H93" t="str">
        <f>"Spirit of Sydney"</f>
        <v>Spirit of Sydney</v>
      </c>
      <c r="I93" t="str">
        <f>"151"</f>
        <v>151</v>
      </c>
    </row>
    <row r="94" spans="1:9" x14ac:dyDescent="0.3">
      <c r="A94" t="s">
        <v>14</v>
      </c>
      <c r="D94" s="1" t="str">
        <f t="shared" si="3"/>
        <v>Everglades, FL</v>
      </c>
      <c r="F94" s="1" t="str">
        <f>"""BC Live Database"",""Gurrentz"",""50013"",""20"",""EVER"",""1"",""GALA"",""10"",""205"",""40"",""NZ"""</f>
        <v>"BC Live Database","Gurrentz","50013","20","EVER","1","GALA","10","205","40","NZ"</v>
      </c>
      <c r="G94" s="3">
        <v>44611</v>
      </c>
      <c r="H94" t="str">
        <f>"Galani"</f>
        <v>Galani</v>
      </c>
      <c r="I94" t="str">
        <f>"205"</f>
        <v>205</v>
      </c>
    </row>
    <row r="95" spans="1:9" x14ac:dyDescent="0.3">
      <c r="A95" t="s">
        <v>14</v>
      </c>
      <c r="D95" s="1" t="str">
        <f t="shared" si="3"/>
        <v>Everglades, FL</v>
      </c>
      <c r="F95" s="1" t="str">
        <f>"""BC Live Database"",""Gurrentz"",""50013"",""20"",""EVER"",""1"",""SPME"",""10"",""203"",""40"",""NZ"""</f>
        <v>"BC Live Database","Gurrentz","50013","20","EVER","1","SPME","10","203","40","NZ"</v>
      </c>
      <c r="G95" s="3">
        <v>44620</v>
      </c>
      <c r="H95" t="str">
        <f>"Spirit of Melbourne"</f>
        <v>Spirit of Melbourne</v>
      </c>
      <c r="I95" t="str">
        <f>"203"</f>
        <v>203</v>
      </c>
    </row>
    <row r="96" spans="1:9" x14ac:dyDescent="0.3">
      <c r="A96" t="s">
        <v>14</v>
      </c>
      <c r="D96" s="1" t="str">
        <f t="shared" si="3"/>
        <v>Everglades, FL</v>
      </c>
      <c r="F96" s="1" t="str">
        <f>"""BC Live Database"",""Gurrentz"",""50013"",""20"",""EVER"",""1"",""VEEX"",""10"",""208"",""40"",""NZ"""</f>
        <v>"BC Live Database","Gurrentz","50013","20","EVER","1","VEEX","10","208","40","NZ"</v>
      </c>
      <c r="G96" s="3">
        <v>44625</v>
      </c>
      <c r="H96" t="str">
        <f>"Velika Express"</f>
        <v>Velika Express</v>
      </c>
      <c r="I96" t="str">
        <f>"208"</f>
        <v>208</v>
      </c>
    </row>
    <row r="97" spans="1:9" x14ac:dyDescent="0.3">
      <c r="A97" t="s">
        <v>14</v>
      </c>
      <c r="D97" s="1" t="str">
        <f>D53</f>
        <v>Everglades, FL</v>
      </c>
    </row>
    <row r="98" spans="1:9" x14ac:dyDescent="0.3">
      <c r="A98" t="s">
        <v>14</v>
      </c>
      <c r="D98" s="1" t="str">
        <f t="shared" ref="D98" si="4">E98</f>
        <v>Hawaii</v>
      </c>
      <c r="E98" t="str">
        <f>"Hawaii"</f>
        <v>Hawaii</v>
      </c>
      <c r="G98" t="s">
        <v>3</v>
      </c>
      <c r="H98" t="s">
        <v>4</v>
      </c>
      <c r="I98" t="s">
        <v>5</v>
      </c>
    </row>
    <row r="99" spans="1:9" x14ac:dyDescent="0.3">
      <c r="A99" t="s">
        <v>14</v>
      </c>
      <c r="D99" s="1" t="str">
        <f t="shared" ref="D99:D100" si="5">D98</f>
        <v>Hawaii</v>
      </c>
      <c r="F99" s="1" t="str">
        <f>"""BC Live Database"",""Gurrentz"",""50013"",""20"",""HAWI"",""1"",""NOGU"",""10"",""125"",""40"",""NZ"""</f>
        <v>"BC Live Database","Gurrentz","50013","20","HAWI","1","NOGU","10","125","40","NZ"</v>
      </c>
      <c r="G99" s="3">
        <v>44503</v>
      </c>
      <c r="H99" t="str">
        <f>"Northern Guild"</f>
        <v>Northern Guild</v>
      </c>
      <c r="I99" t="str">
        <f>"125"</f>
        <v>125</v>
      </c>
    </row>
    <row r="100" spans="1:9" x14ac:dyDescent="0.3">
      <c r="A100" t="s">
        <v>14</v>
      </c>
      <c r="D100" s="1" t="str">
        <f t="shared" si="5"/>
        <v>Hawaii</v>
      </c>
    </row>
    <row r="101" spans="1:9" x14ac:dyDescent="0.3">
      <c r="A101" t="s">
        <v>14</v>
      </c>
      <c r="D101" s="1" t="str">
        <f t="shared" ref="D101" si="6">E101</f>
        <v>Houston, TX</v>
      </c>
      <c r="E101" t="str">
        <f>"Houston, TX"</f>
        <v>Houston, TX</v>
      </c>
      <c r="G101" t="s">
        <v>3</v>
      </c>
      <c r="H101" t="s">
        <v>4</v>
      </c>
      <c r="I101" t="s">
        <v>5</v>
      </c>
    </row>
    <row r="102" spans="1:9" x14ac:dyDescent="0.3">
      <c r="A102" t="s">
        <v>14</v>
      </c>
      <c r="D102" s="1" t="str">
        <f t="shared" ref="D102" si="7">D101</f>
        <v>Houston, TX</v>
      </c>
      <c r="F102" s="1" t="str">
        <f>"""BC Live Database"",""Gurrentz"",""50013"",""20"",""HOUS"",""1"",""ASPA"",""10"",""029"",""40"",""NI"""</f>
        <v>"BC Live Database","Gurrentz","50013","20","HOUS","1","ASPA","10","029","40","NI"</v>
      </c>
      <c r="G102" s="3">
        <v>44486</v>
      </c>
      <c r="H102" t="str">
        <f>"AS Palatia"</f>
        <v>AS Palatia</v>
      </c>
      <c r="I102" t="str">
        <f>"029"</f>
        <v>029</v>
      </c>
    </row>
    <row r="103" spans="1:9" x14ac:dyDescent="0.3">
      <c r="A103" t="s">
        <v>14</v>
      </c>
      <c r="D103" s="1" t="str">
        <f t="shared" ref="D103:D130" si="8">D102</f>
        <v>Houston, TX</v>
      </c>
      <c r="F103" s="1" t="str">
        <f>"""BC Live Database"",""Gurrentz"",""50013"",""20"",""HOUS"",""1"",""NORB"",""10"",""054"",""40"",""NI"""</f>
        <v>"BC Live Database","Gurrentz","50013","20","HOUS","1","NORB","10","054","40","NI"</v>
      </c>
      <c r="G103" s="3">
        <v>44495</v>
      </c>
      <c r="H103" t="str">
        <f>"Norbaltic"</f>
        <v>Norbaltic</v>
      </c>
      <c r="I103" t="str">
        <f>"054"</f>
        <v>054</v>
      </c>
    </row>
    <row r="104" spans="1:9" x14ac:dyDescent="0.3">
      <c r="A104" t="s">
        <v>14</v>
      </c>
      <c r="D104" s="1" t="str">
        <f t="shared" si="8"/>
        <v>Houston, TX</v>
      </c>
      <c r="F104" s="1" t="str">
        <f>"""BC Live Database"",""Gurrentz"",""50013"",""20"",""HOUS"",""1"",""ASPE"",""10"",""053"",""40"",""NI"""</f>
        <v>"BC Live Database","Gurrentz","50013","20","HOUS","1","ASPE","10","053","40","NI"</v>
      </c>
      <c r="G104" s="3">
        <v>44498</v>
      </c>
      <c r="H104" t="str">
        <f>"AS Petulia"</f>
        <v>AS Petulia</v>
      </c>
      <c r="I104" t="str">
        <f>"053"</f>
        <v>053</v>
      </c>
    </row>
    <row r="105" spans="1:9" x14ac:dyDescent="0.3">
      <c r="A105" t="s">
        <v>14</v>
      </c>
      <c r="D105" s="1" t="str">
        <f t="shared" si="8"/>
        <v>Houston, TX</v>
      </c>
      <c r="F105" s="1" t="str">
        <f>"""BC Live Database"",""Gurrentz"",""50013"",""20"",""HOUS"",""1"",""SECA"",""10"",""142"",""40"",""NI"""</f>
        <v>"BC Live Database","Gurrentz","50013","20","HOUS","1","SECA","10","142","40","NI"</v>
      </c>
      <c r="G105" s="3">
        <v>44503</v>
      </c>
      <c r="H105" t="str">
        <f>"Seaspan Calicanto"</f>
        <v>Seaspan Calicanto</v>
      </c>
      <c r="I105" t="str">
        <f>"142"</f>
        <v>142</v>
      </c>
    </row>
    <row r="106" spans="1:9" x14ac:dyDescent="0.3">
      <c r="A106" t="s">
        <v>14</v>
      </c>
      <c r="D106" s="1" t="str">
        <f t="shared" si="8"/>
        <v>Houston, TX</v>
      </c>
      <c r="F106" s="1" t="str">
        <f>"""BC Live Database"",""Gurrentz"",""50013"",""20"",""HOUS"",""1"",""ASPE"",""10"",""054"",""40"",""NI"""</f>
        <v>"BC Live Database","Gurrentz","50013","20","HOUS","1","ASPE","10","054","40","NI"</v>
      </c>
      <c r="G106" s="3">
        <v>44512</v>
      </c>
      <c r="H106" t="str">
        <f>"AS Petulia"</f>
        <v>AS Petulia</v>
      </c>
      <c r="I106" t="str">
        <f>"054"</f>
        <v>054</v>
      </c>
    </row>
    <row r="107" spans="1:9" x14ac:dyDescent="0.3">
      <c r="A107" t="s">
        <v>14</v>
      </c>
      <c r="D107" s="1" t="str">
        <f t="shared" si="8"/>
        <v>Houston, TX</v>
      </c>
      <c r="F107" s="1" t="str">
        <f>"""BC Live Database"",""Gurrentz"",""50013"",""20"",""HOUS"",""1"",""ASPA"",""10"",""032"",""40"",""NI"""</f>
        <v>"BC Live Database","Gurrentz","50013","20","HOUS","1","ASPA","10","032","40","NI"</v>
      </c>
      <c r="G107" s="3">
        <v>44542</v>
      </c>
      <c r="H107" t="str">
        <f>"AS Palatia"</f>
        <v>AS Palatia</v>
      </c>
      <c r="I107" t="str">
        <f>"032"</f>
        <v>032</v>
      </c>
    </row>
    <row r="108" spans="1:9" x14ac:dyDescent="0.3">
      <c r="A108" t="s">
        <v>14</v>
      </c>
      <c r="D108" s="1" t="str">
        <f t="shared" si="8"/>
        <v>Houston, TX</v>
      </c>
      <c r="F108" s="1" t="str">
        <f>"""BC Live Database"",""Gurrentz"",""50013"",""20"",""HOUS"",""1"",""ASPE"",""10"",""056"",""40"",""NI"""</f>
        <v>"BC Live Database","Gurrentz","50013","20","HOUS","1","ASPE","10","056","40","NI"</v>
      </c>
      <c r="G108" s="3">
        <v>44547</v>
      </c>
      <c r="H108" t="str">
        <f>"AS Petulia"</f>
        <v>AS Petulia</v>
      </c>
      <c r="I108" t="str">
        <f>"056"</f>
        <v>056</v>
      </c>
    </row>
    <row r="109" spans="1:9" x14ac:dyDescent="0.3">
      <c r="A109" t="s">
        <v>14</v>
      </c>
      <c r="D109" s="1" t="str">
        <f t="shared" si="8"/>
        <v>Houston, TX</v>
      </c>
      <c r="F109" s="1" t="str">
        <f>"""BC Live Database"",""Gurrentz"",""50013"",""20"",""HOUS"",""1"",""MOTA"",""10"",""148"",""40"",""BR"""</f>
        <v>"BC Live Database","Gurrentz","50013","20","HOUS","1","MOTA","10","148","40","BR"</v>
      </c>
      <c r="G109" s="3">
        <v>44557</v>
      </c>
      <c r="H109" t="str">
        <f>"Monte Tamaro"</f>
        <v>Monte Tamaro</v>
      </c>
      <c r="I109" t="str">
        <f>"148"</f>
        <v>148</v>
      </c>
    </row>
    <row r="110" spans="1:9" x14ac:dyDescent="0.3">
      <c r="A110" t="s">
        <v>14</v>
      </c>
      <c r="D110" s="1" t="str">
        <f t="shared" si="8"/>
        <v>Houston, TX</v>
      </c>
      <c r="F110" s="1" t="str">
        <f>"""BC Live Database"",""Gurrentz"",""50013"",""20"",""HOUS"",""1"",""SEPR"",""10"",""001"",""40"",""NI"""</f>
        <v>"BC Live Database","Gurrentz","50013","20","HOUS","1","SEPR","10","001","40","NI"</v>
      </c>
      <c r="G110" s="3">
        <v>44563</v>
      </c>
      <c r="H110" t="str">
        <f>"Seaboard Pride "</f>
        <v xml:space="preserve">Seaboard Pride </v>
      </c>
      <c r="I110" t="str">
        <f>"001"</f>
        <v>001</v>
      </c>
    </row>
    <row r="111" spans="1:9" x14ac:dyDescent="0.3">
      <c r="A111" t="s">
        <v>14</v>
      </c>
      <c r="D111" s="1" t="str">
        <f t="shared" si="8"/>
        <v>Houston, TX</v>
      </c>
      <c r="F111" s="1" t="str">
        <f>"""BC Live Database"",""Gurrentz"",""50013"",""20"",""HOUS"",""1"",""NYDI"",""10"",""2144"",""40"",""BR"""</f>
        <v>"BC Live Database","Gurrentz","50013","20","HOUS","1","NYDI","10","2144","40","BR"</v>
      </c>
      <c r="G111" s="3">
        <v>44565</v>
      </c>
      <c r="H111" t="str">
        <f>"NYK Diana"</f>
        <v>NYK Diana</v>
      </c>
      <c r="I111" t="str">
        <f>"2144"</f>
        <v>2144</v>
      </c>
    </row>
    <row r="112" spans="1:9" x14ac:dyDescent="0.3">
      <c r="A112" t="s">
        <v>14</v>
      </c>
      <c r="D112" s="1" t="str">
        <f t="shared" si="8"/>
        <v>Houston, TX</v>
      </c>
      <c r="F112" s="1" t="str">
        <f>"""BC Live Database"",""Gurrentz"",""50013"",""20"",""HOUS"",""1"",""SECA"",""10"",""151"",""40"",""NI"""</f>
        <v>"BC Live Database","Gurrentz","50013","20","HOUS","1","SECA","10","151","40","NI"</v>
      </c>
      <c r="G112" s="3">
        <v>44567</v>
      </c>
      <c r="H112" t="str">
        <f>"Seaspan Calicanto"</f>
        <v>Seaspan Calicanto</v>
      </c>
      <c r="I112" t="str">
        <f>"151"</f>
        <v>151</v>
      </c>
    </row>
    <row r="113" spans="1:9" x14ac:dyDescent="0.3">
      <c r="A113" t="s">
        <v>14</v>
      </c>
      <c r="D113" s="1" t="str">
        <f t="shared" si="8"/>
        <v>Houston, TX</v>
      </c>
      <c r="F113" s="1" t="str">
        <f>"""BC Live Database"",""Gurrentz"",""50013"",""20"",""HOUS"",""1"",""BRBE"",""10"",""149"",""40"",""BR"""</f>
        <v>"BC Live Database","Gurrentz","50013","20","HOUS","1","BRBE","10","149","40","BR"</v>
      </c>
      <c r="G113" s="3">
        <v>44568</v>
      </c>
      <c r="H113" t="str">
        <f>"Bremen Belle"</f>
        <v>Bremen Belle</v>
      </c>
      <c r="I113" t="str">
        <f>"149"</f>
        <v>149</v>
      </c>
    </row>
    <row r="114" spans="1:9" x14ac:dyDescent="0.3">
      <c r="A114" t="s">
        <v>14</v>
      </c>
      <c r="D114" s="1" t="str">
        <f t="shared" si="8"/>
        <v>Houston, TX</v>
      </c>
      <c r="F114" s="1" t="str">
        <f>"""BC Live Database"",""Gurrentz"",""50013"",""20"",""HOUS"",""1"",""TIRUA"",""10"",""145"",""40"",""BR"""</f>
        <v>"BC Live Database","Gurrentz","50013","20","HOUS","1","TIRUA","10","145","40","BR"</v>
      </c>
      <c r="G114" s="3">
        <v>44571</v>
      </c>
      <c r="H114" t="str">
        <f>"Tirua"</f>
        <v>Tirua</v>
      </c>
      <c r="I114" t="str">
        <f>"145"</f>
        <v>145</v>
      </c>
    </row>
    <row r="115" spans="1:9" x14ac:dyDescent="0.3">
      <c r="A115" t="s">
        <v>14</v>
      </c>
      <c r="D115" s="1" t="str">
        <f t="shared" si="8"/>
        <v>Houston, TX</v>
      </c>
      <c r="F115" s="1" t="str">
        <f>"""BC Live Database"",""Gurrentz"",""50013"",""20"",""HOUS"",""1"",""MHHA"",""10"",""150"",""40"",""BR"""</f>
        <v>"BC Live Database","Gurrentz","50013","20","HOUS","1","MHHA","10","150","40","BR"</v>
      </c>
      <c r="G115" s="3">
        <v>44572</v>
      </c>
      <c r="H115" t="str">
        <f>"MH Hamburg"</f>
        <v>MH Hamburg</v>
      </c>
      <c r="I115" t="str">
        <f>"150"</f>
        <v>150</v>
      </c>
    </row>
    <row r="116" spans="1:9" x14ac:dyDescent="0.3">
      <c r="A116" t="s">
        <v>14</v>
      </c>
      <c r="D116" s="1" t="str">
        <f t="shared" si="8"/>
        <v>Houston, TX</v>
      </c>
      <c r="F116" s="1" t="str">
        <f>"""BC Live Database"",""Gurrentz"",""50013"",""20"",""HOUS"",""1"",""MOPA"",""10"",""152"",""40"",""BR"""</f>
        <v>"BC Live Database","Gurrentz","50013","20","HOUS","1","MOPA","10","152","40","BR"</v>
      </c>
      <c r="G116" s="3">
        <v>44573</v>
      </c>
      <c r="H116" t="str">
        <f>"Monte Pascoal"</f>
        <v>Monte Pascoal</v>
      </c>
      <c r="I116" t="str">
        <f>"152"</f>
        <v>152</v>
      </c>
    </row>
    <row r="117" spans="1:9" x14ac:dyDescent="0.3">
      <c r="A117" t="s">
        <v>14</v>
      </c>
      <c r="D117" s="1" t="str">
        <f t="shared" si="8"/>
        <v>Houston, TX</v>
      </c>
      <c r="F117" s="1" t="str">
        <f>"""BC Live Database"",""Gurrentz"",""50013"",""20"",""HOUS"",""1"",""ASPA"",""10"",""034"",""40"",""NI"""</f>
        <v>"BC Live Database","Gurrentz","50013","20","HOUS","1","ASPA","10","034","40","NI"</v>
      </c>
      <c r="G117" s="3">
        <v>44575</v>
      </c>
      <c r="H117" t="str">
        <f>"AS Palatia"</f>
        <v>AS Palatia</v>
      </c>
      <c r="I117" t="str">
        <f>"034"</f>
        <v>034</v>
      </c>
    </row>
    <row r="118" spans="1:9" x14ac:dyDescent="0.3">
      <c r="A118" t="s">
        <v>14</v>
      </c>
      <c r="D118" s="1" t="str">
        <f t="shared" si="8"/>
        <v>Houston, TX</v>
      </c>
      <c r="F118" s="1" t="str">
        <f>"""BC Live Database"",""Gurrentz"",""50013"",""20"",""HOUS"",""1"",""EXFR"",""10"",""152"",""40"",""BR"""</f>
        <v>"BC Live Database","Gurrentz","50013","20","HOUS","1","EXFR","10","152","40","BR"</v>
      </c>
      <c r="G118" s="3">
        <v>44585</v>
      </c>
      <c r="H118" t="str">
        <f>"Express France"</f>
        <v>Express France</v>
      </c>
      <c r="I118" t="str">
        <f>"152"</f>
        <v>152</v>
      </c>
    </row>
    <row r="119" spans="1:9" x14ac:dyDescent="0.3">
      <c r="A119" t="s">
        <v>14</v>
      </c>
      <c r="D119" s="1" t="str">
        <f t="shared" si="8"/>
        <v>Houston, TX</v>
      </c>
      <c r="F119" s="1" t="str">
        <f>"""BC Live Database"",""Gurrentz"",""50013"",""20"",""HOUS"",""1"","""",""10"",""202"",""40"",""NI"""</f>
        <v>"BC Live Database","Gurrentz","50013","20","HOUS","1","","10","202","40","NI"</v>
      </c>
      <c r="G119" s="3">
        <v>44586</v>
      </c>
      <c r="H119" t="str">
        <f>""</f>
        <v/>
      </c>
      <c r="I119" t="str">
        <f>"202"</f>
        <v>202</v>
      </c>
    </row>
    <row r="120" spans="1:9" x14ac:dyDescent="0.3">
      <c r="A120" t="s">
        <v>14</v>
      </c>
      <c r="D120" s="1" t="str">
        <f t="shared" si="8"/>
        <v>Houston, TX</v>
      </c>
      <c r="F120" s="1" t="str">
        <f>"""BC Live Database"",""Gurrentz"",""50013"",""20"",""HOUS"",""1"",""SECA"",""10"",""202"",""40"",""NI"""</f>
        <v>"BC Live Database","Gurrentz","50013","20","HOUS","1","SECA","10","202","40","NI"</v>
      </c>
      <c r="G120" s="3">
        <v>44586</v>
      </c>
      <c r="H120" t="str">
        <f>"Seaspan Calicanto"</f>
        <v>Seaspan Calicanto</v>
      </c>
      <c r="I120" t="str">
        <f>"202"</f>
        <v>202</v>
      </c>
    </row>
    <row r="121" spans="1:9" x14ac:dyDescent="0.3">
      <c r="A121" t="s">
        <v>14</v>
      </c>
      <c r="D121" s="1" t="str">
        <f t="shared" si="8"/>
        <v>Houston, TX</v>
      </c>
      <c r="F121" s="1" t="str">
        <f>"""BC Live Database"",""Gurrentz"",""50013"",""20"",""HOUS"",""1"",""GALL"",""10"",""203"",""40"",""NI"""</f>
        <v>"BC Live Database","Gurrentz","50013","20","HOUS","1","GALL","10","203","40","NI"</v>
      </c>
      <c r="G121" s="3">
        <v>44591</v>
      </c>
      <c r="H121" t="str">
        <f>"Galloway"</f>
        <v>Galloway</v>
      </c>
      <c r="I121" t="str">
        <f>"203"</f>
        <v>203</v>
      </c>
    </row>
    <row r="122" spans="1:9" x14ac:dyDescent="0.3">
      <c r="A122" t="s">
        <v>14</v>
      </c>
      <c r="D122" s="1" t="str">
        <f t="shared" si="8"/>
        <v>Houston, TX</v>
      </c>
      <c r="F122" s="1" t="str">
        <f>"""BC Live Database"",""Gurrentz"",""50013"",""20"",""HOUS"",""1"",""TOLT"",""10"",""148"",""40"",""BR"""</f>
        <v>"BC Live Database","Gurrentz","50013","20","HOUS","1","TOLT","10","148","40","BR"</v>
      </c>
      <c r="G122" s="3">
        <v>44592</v>
      </c>
      <c r="H122" t="str">
        <f>"Tolten"</f>
        <v>Tolten</v>
      </c>
      <c r="I122" t="str">
        <f>"148"</f>
        <v>148</v>
      </c>
    </row>
    <row r="123" spans="1:9" x14ac:dyDescent="0.3">
      <c r="A123" t="s">
        <v>14</v>
      </c>
      <c r="D123" s="1" t="str">
        <f t="shared" si="8"/>
        <v>Houston, TX</v>
      </c>
      <c r="F123" s="1" t="str">
        <f>"""BC Live Database"",""Gurrentz"",""50013"",""20"",""HOUS"",""1"",""TOLT"",""10"",""2148"",""40"",""BR"""</f>
        <v>"BC Live Database","Gurrentz","50013","20","HOUS","1","TOLT","10","2148","40","BR"</v>
      </c>
      <c r="G123" s="3">
        <v>44593</v>
      </c>
      <c r="H123" t="str">
        <f>"Tolten"</f>
        <v>Tolten</v>
      </c>
      <c r="I123" t="str">
        <f>"2148"</f>
        <v>2148</v>
      </c>
    </row>
    <row r="124" spans="1:9" x14ac:dyDescent="0.3">
      <c r="A124" t="s">
        <v>14</v>
      </c>
      <c r="D124" s="1" t="str">
        <f t="shared" si="8"/>
        <v>Houston, TX</v>
      </c>
      <c r="F124" s="1" t="str">
        <f>"""BC Live Database"",""Gurrentz"",""50013"",""20"",""HOUS"",""1"",""MSYU"",""10"",""204"",""40"",""NI"""</f>
        <v>"BC Live Database","Gurrentz","50013","20","HOUS","1","MSYU","10","204","40","NI"</v>
      </c>
      <c r="G124" s="3">
        <v>44600</v>
      </c>
      <c r="H124" t="str">
        <f>"MSC Yurida III "</f>
        <v xml:space="preserve">MSC Yurida III </v>
      </c>
      <c r="I124" t="str">
        <f>"204"</f>
        <v>204</v>
      </c>
    </row>
    <row r="125" spans="1:9" x14ac:dyDescent="0.3">
      <c r="A125" t="s">
        <v>14</v>
      </c>
      <c r="D125" s="1" t="str">
        <f t="shared" si="8"/>
        <v>Houston, TX</v>
      </c>
      <c r="F125" s="1" t="str">
        <f>"""BC Live Database"",""Gurrentz"",""50013"",""20"",""HOUS"",""1"",""MATD"",""10"",""149"",""40"",""BR"""</f>
        <v>"BC Live Database","Gurrentz","50013","20","HOUS","1","MATD","10","149","40","BR"</v>
      </c>
      <c r="G125" s="3">
        <v>44603</v>
      </c>
      <c r="H125" t="str">
        <f>"MSC Matilde"</f>
        <v>MSC Matilde</v>
      </c>
      <c r="I125" t="str">
        <f>"149"</f>
        <v>149</v>
      </c>
    </row>
    <row r="126" spans="1:9" x14ac:dyDescent="0.3">
      <c r="A126" t="s">
        <v>14</v>
      </c>
      <c r="D126" s="1" t="str">
        <f t="shared" si="8"/>
        <v>Houston, TX</v>
      </c>
      <c r="F126" s="1" t="str">
        <f>"""BC Live Database"",""Gurrentz"",""50013"",""20"",""HOUS"",""1"",""SECA"",""10"",""205"",""40"",""NI"""</f>
        <v>"BC Live Database","Gurrentz","50013","20","HOUS","1","SECA","10","205","40","NI"</v>
      </c>
      <c r="G126" s="3">
        <v>44607</v>
      </c>
      <c r="H126" t="str">
        <f>"Seaspan Calicanto"</f>
        <v>Seaspan Calicanto</v>
      </c>
      <c r="I126" t="str">
        <f>"205"</f>
        <v>205</v>
      </c>
    </row>
    <row r="127" spans="1:9" x14ac:dyDescent="0.3">
      <c r="A127" t="s">
        <v>14</v>
      </c>
      <c r="D127" s="1" t="str">
        <f t="shared" si="8"/>
        <v>Houston, TX</v>
      </c>
      <c r="F127" s="1" t="str">
        <f>"""BC Live Database"",""Gurrentz"",""50013"",""20"",""HOUS"",""1"",""SEPR"",""10"",""103"",""40"",""NI"""</f>
        <v>"BC Live Database","Gurrentz","50013","20","HOUS","1","SEPR","10","103","40","NI"</v>
      </c>
      <c r="G127" s="3">
        <v>44611</v>
      </c>
      <c r="H127" t="str">
        <f>"Seaboard Pride "</f>
        <v xml:space="preserve">Seaboard Pride </v>
      </c>
      <c r="I127" t="str">
        <f>"103"</f>
        <v>103</v>
      </c>
    </row>
    <row r="128" spans="1:9" x14ac:dyDescent="0.3">
      <c r="A128" t="s">
        <v>14</v>
      </c>
      <c r="D128" s="1" t="str">
        <f t="shared" si="8"/>
        <v>Houston, TX</v>
      </c>
      <c r="F128" s="1" t="str">
        <f>"""BC Live Database"",""Gurrentz"",""50013"",""20"",""HOUS"",""1"",""GALL"",""10"",""206"",""40"",""NI"""</f>
        <v>"BC Live Database","Gurrentz","50013","20","HOUS","1","GALL","10","206","40","NI"</v>
      </c>
      <c r="G128" s="3">
        <v>44614</v>
      </c>
      <c r="H128" t="str">
        <f>"Galloway"</f>
        <v>Galloway</v>
      </c>
      <c r="I128" t="str">
        <f>"206"</f>
        <v>206</v>
      </c>
    </row>
    <row r="129" spans="1:9" x14ac:dyDescent="0.3">
      <c r="A129" t="s">
        <v>14</v>
      </c>
      <c r="D129" s="1" t="str">
        <f t="shared" si="8"/>
        <v>Houston, TX</v>
      </c>
      <c r="F129" s="1" t="str">
        <f>"""BC Live Database"",""Gurrentz"",""50013"",""20"",""HOUS"",""1"",""GALL"",""10"",""207"",""40"",""NI"""</f>
        <v>"BC Live Database","Gurrentz","50013","20","HOUS","1","GALL","10","207","40","NI"</v>
      </c>
      <c r="G129" s="3">
        <v>44634</v>
      </c>
      <c r="H129" t="str">
        <f>"Galloway"</f>
        <v>Galloway</v>
      </c>
      <c r="I129" t="str">
        <f>"207"</f>
        <v>207</v>
      </c>
    </row>
    <row r="130" spans="1:9" x14ac:dyDescent="0.3">
      <c r="A130" t="s">
        <v>14</v>
      </c>
      <c r="D130" s="1" t="str">
        <f t="shared" si="8"/>
        <v>Houston, TX</v>
      </c>
      <c r="F130" s="1" t="str">
        <f>"""BC Live Database"",""Gurrentz"",""50013"",""20"",""HOUS"",""1"",""OLIM"",""10"",""207"",""40"",""NZ"""</f>
        <v>"BC Live Database","Gurrentz","50013","20","HOUS","1","OLIM","10","207","40","NZ"</v>
      </c>
      <c r="G130" s="3">
        <v>44646</v>
      </c>
      <c r="H130" t="str">
        <f>"Olivia Maersk"</f>
        <v>Olivia Maersk</v>
      </c>
      <c r="I130" t="str">
        <f>"207"</f>
        <v>207</v>
      </c>
    </row>
    <row r="131" spans="1:9" x14ac:dyDescent="0.3">
      <c r="A131" t="s">
        <v>14</v>
      </c>
      <c r="D131" s="1" t="str">
        <f>D102</f>
        <v>Houston, TX</v>
      </c>
    </row>
    <row r="132" spans="1:9" x14ac:dyDescent="0.3">
      <c r="A132" t="s">
        <v>14</v>
      </c>
      <c r="D132" s="1" t="str">
        <f t="shared" ref="D132" si="9">E132</f>
        <v>Los Angeles, CA</v>
      </c>
      <c r="E132" t="str">
        <f>"Los Angeles, CA"</f>
        <v>Los Angeles, CA</v>
      </c>
      <c r="G132" t="s">
        <v>3</v>
      </c>
      <c r="H132" t="s">
        <v>4</v>
      </c>
      <c r="I132" t="s">
        <v>5</v>
      </c>
    </row>
    <row r="133" spans="1:9" x14ac:dyDescent="0.3">
      <c r="A133" t="s">
        <v>14</v>
      </c>
      <c r="D133" s="1" t="str">
        <f t="shared" ref="D133" si="10">D132</f>
        <v>Los Angeles, CA</v>
      </c>
      <c r="F133" s="1" t="str">
        <f>"""BC Live Database"",""Gurrentz"",""50013"",""20"",""LOSA"",""1"",""MOEX"",""10"",""80"",""40"",""NI"""</f>
        <v>"BC Live Database","Gurrentz","50013","20","LOSA","1","MOEX","10","80","40","NI"</v>
      </c>
      <c r="G133" s="3" t="str">
        <f>""</f>
        <v/>
      </c>
      <c r="H133" t="str">
        <f>"MOL EXPERIENCE 080W"</f>
        <v>MOL EXPERIENCE 080W</v>
      </c>
      <c r="I133" t="str">
        <f>"80"</f>
        <v>80</v>
      </c>
    </row>
    <row r="134" spans="1:9" x14ac:dyDescent="0.3">
      <c r="A134" t="s">
        <v>14</v>
      </c>
      <c r="D134" s="1" t="str">
        <f t="shared" ref="D134:D197" si="11">D133</f>
        <v>Los Angeles, CA</v>
      </c>
      <c r="F134" s="1" t="str">
        <f>"""BC Live Database"",""Gurrentz"",""50013"",""20"",""LOSA"",""1"",""AIRF"",""10"",""1"",""40"",""AU"""</f>
        <v>"BC Live Database","Gurrentz","50013","20","LOSA","1","AIRF","10","1","40","AU"</v>
      </c>
      <c r="G134" s="3">
        <v>44475</v>
      </c>
      <c r="H134" t="str">
        <f>"Airfreight"</f>
        <v>Airfreight</v>
      </c>
      <c r="I134" t="str">
        <f>"1"</f>
        <v>1</v>
      </c>
    </row>
    <row r="135" spans="1:9" x14ac:dyDescent="0.3">
      <c r="A135" t="s">
        <v>14</v>
      </c>
      <c r="D135" s="1" t="str">
        <f t="shared" si="11"/>
        <v>Los Angeles, CA</v>
      </c>
      <c r="F135" s="1" t="str">
        <f>"""BC Live Database"",""Gurrentz"",""50013"",""20"",""LOSA"",""1"",""NOGU"",""10"",""125"",""40"",""AU"""</f>
        <v>"BC Live Database","Gurrentz","50013","20","LOSA","1","NOGU","10","125","40","AU"</v>
      </c>
      <c r="G135" s="3">
        <v>44477</v>
      </c>
      <c r="H135" t="str">
        <f>"Northern Guild"</f>
        <v>Northern Guild</v>
      </c>
      <c r="I135" t="str">
        <f>"125"</f>
        <v>125</v>
      </c>
    </row>
    <row r="136" spans="1:9" x14ac:dyDescent="0.3">
      <c r="A136" t="s">
        <v>14</v>
      </c>
      <c r="D136" s="1" t="str">
        <f t="shared" si="11"/>
        <v>Los Angeles, CA</v>
      </c>
      <c r="F136" s="1" t="str">
        <f>"""BC Live Database"",""Gurrentz"",""50013"",""20"",""LOSA"",""1"",""NOGU"",""10"",""125"",""40"",""NZ"""</f>
        <v>"BC Live Database","Gurrentz","50013","20","LOSA","1","NOGU","10","125","40","NZ"</v>
      </c>
      <c r="G136" s="3">
        <v>44477</v>
      </c>
      <c r="H136" t="str">
        <f>"Northern Guild"</f>
        <v>Northern Guild</v>
      </c>
      <c r="I136" t="str">
        <f>"125"</f>
        <v>125</v>
      </c>
    </row>
    <row r="137" spans="1:9" x14ac:dyDescent="0.3">
      <c r="A137" t="s">
        <v>14</v>
      </c>
      <c r="D137" s="1" t="str">
        <f t="shared" si="11"/>
        <v>Los Angeles, CA</v>
      </c>
      <c r="F137" s="1" t="str">
        <f>"""BC Live Database"",""Gurrentz"",""50013"",""20"",""LOSA"",""1"",""NYLA"",""10"",""612"",""40"",""NI"""</f>
        <v>"BC Live Database","Gurrentz","50013","20","LOSA","1","NYLA","10","612","40","NI"</v>
      </c>
      <c r="G137" s="3">
        <v>44489</v>
      </c>
      <c r="H137" t="str">
        <f>"NYK Laura"</f>
        <v>NYK Laura</v>
      </c>
      <c r="I137" t="str">
        <f>"612"</f>
        <v>612</v>
      </c>
    </row>
    <row r="138" spans="1:9" x14ac:dyDescent="0.3">
      <c r="A138" t="s">
        <v>14</v>
      </c>
      <c r="D138" s="1" t="str">
        <f t="shared" si="11"/>
        <v>Los Angeles, CA</v>
      </c>
      <c r="F138" s="1" t="str">
        <f>"""BC Live Database"",""Gurrentz"",""50013"",""20"",""LOSA"",""1"",""MANO"",""10"",""001"",""40"",""NI"""</f>
        <v>"BC Live Database","Gurrentz","50013","20","LOSA","1","MANO","10","001","40","NI"</v>
      </c>
      <c r="G138" s="3">
        <v>44491</v>
      </c>
      <c r="H138" t="str">
        <f>"Maersk Northwood"</f>
        <v>Maersk Northwood</v>
      </c>
      <c r="I138" t="str">
        <f>"001"</f>
        <v>001</v>
      </c>
    </row>
    <row r="139" spans="1:9" x14ac:dyDescent="0.3">
      <c r="A139" t="s">
        <v>14</v>
      </c>
      <c r="D139" s="1" t="str">
        <f t="shared" si="11"/>
        <v>Los Angeles, CA</v>
      </c>
      <c r="F139" s="1" t="str">
        <f>"""BC Live Database"",""Gurrentz"",""50013"",""20"",""LOSA"",""1"",""ANWA"",""10"",""131"",""40"",""AU"""</f>
        <v>"BC Live Database","Gurrentz","50013","20","LOSA","1","ANWA","10","131","40","AU"</v>
      </c>
      <c r="G139" s="3">
        <v>44492</v>
      </c>
      <c r="H139" t="str">
        <f>"ANL Warrnambool"</f>
        <v>ANL Warrnambool</v>
      </c>
      <c r="I139" t="str">
        <f>"131"</f>
        <v>131</v>
      </c>
    </row>
    <row r="140" spans="1:9" x14ac:dyDescent="0.3">
      <c r="A140" t="s">
        <v>14</v>
      </c>
      <c r="D140" s="1" t="str">
        <f t="shared" si="11"/>
        <v>Los Angeles, CA</v>
      </c>
      <c r="F140" s="1" t="str">
        <f>"""BC Live Database"",""Gurrentz"",""50013"",""20"",""LOSA"",""1"",""ANWA"",""10"",""131"",""40"",""NZ"""</f>
        <v>"BC Live Database","Gurrentz","50013","20","LOSA","1","ANWA","10","131","40","NZ"</v>
      </c>
      <c r="G140" s="3">
        <v>44492</v>
      </c>
      <c r="H140" t="str">
        <f>"ANL Warrnambool"</f>
        <v>ANL Warrnambool</v>
      </c>
      <c r="I140" t="str">
        <f>"131"</f>
        <v>131</v>
      </c>
    </row>
    <row r="141" spans="1:9" x14ac:dyDescent="0.3">
      <c r="A141" t="s">
        <v>14</v>
      </c>
      <c r="D141" s="1" t="str">
        <f t="shared" si="11"/>
        <v>Los Angeles, CA</v>
      </c>
      <c r="F141" s="1" t="str">
        <f>"""BC Live Database"",""Gurrentz"",""50013"",""20"",""LOSA"",""1"",""MAEM"",""10"",""136"",""40"",""NZ"""</f>
        <v>"BC Live Database","Gurrentz","50013","20","LOSA","1","MAEM","10","136","40","NZ"</v>
      </c>
      <c r="G141" s="3">
        <v>44494</v>
      </c>
      <c r="H141" t="str">
        <f>"Maersk Emben"</f>
        <v>Maersk Emben</v>
      </c>
      <c r="I141" t="str">
        <f>"136"</f>
        <v>136</v>
      </c>
    </row>
    <row r="142" spans="1:9" x14ac:dyDescent="0.3">
      <c r="A142" t="s">
        <v>14</v>
      </c>
      <c r="D142" s="1" t="str">
        <f t="shared" si="11"/>
        <v>Los Angeles, CA</v>
      </c>
      <c r="F142" s="1" t="str">
        <f>"""BC Live Database"",""Gurrentz"",""50013"",""20"",""LOSA"",""1"",""LOEX"",""10"",""127"",""40"",""AU"""</f>
        <v>"BC Live Database","Gurrentz","50013","20","LOSA","1","LOEX","10","127","40","AU"</v>
      </c>
      <c r="G142" s="3">
        <v>44496</v>
      </c>
      <c r="H142" t="str">
        <f>"London Express"</f>
        <v>London Express</v>
      </c>
      <c r="I142" t="str">
        <f>"127"</f>
        <v>127</v>
      </c>
    </row>
    <row r="143" spans="1:9" x14ac:dyDescent="0.3">
      <c r="A143" t="s">
        <v>14</v>
      </c>
      <c r="D143" s="1" t="str">
        <f t="shared" si="11"/>
        <v>Los Angeles, CA</v>
      </c>
      <c r="F143" s="1" t="str">
        <f>"""BC Live Database"",""Gurrentz"",""50013"",""20"",""LOSA"",""1"",""LOEX"",""10"",""127"",""40"",""NZ"""</f>
        <v>"BC Live Database","Gurrentz","50013","20","LOSA","1","LOEX","10","127","40","NZ"</v>
      </c>
      <c r="G143" s="3">
        <v>44496</v>
      </c>
      <c r="H143" t="str">
        <f>"London Express"</f>
        <v>London Express</v>
      </c>
      <c r="I143" t="str">
        <f>"127"</f>
        <v>127</v>
      </c>
    </row>
    <row r="144" spans="1:9" x14ac:dyDescent="0.3">
      <c r="A144" t="s">
        <v>14</v>
      </c>
      <c r="D144" s="1" t="str">
        <f t="shared" si="11"/>
        <v>Los Angeles, CA</v>
      </c>
      <c r="F144" s="1" t="str">
        <f>"""BC Live Database"",""Gurrentz"",""50013"",""20"",""LOSA"",""1"",""RIBL"",""10"",""123"",""40"",""NZ"""</f>
        <v>"BC Live Database","Gurrentz","50013","20","LOSA","1","RIBL","10","123","40","NZ"</v>
      </c>
      <c r="G144" s="3">
        <v>44498</v>
      </c>
      <c r="H144" t="str">
        <f>"Rio Blanco"</f>
        <v>Rio Blanco</v>
      </c>
      <c r="I144" t="str">
        <f>"123"</f>
        <v>123</v>
      </c>
    </row>
    <row r="145" spans="1:9" x14ac:dyDescent="0.3">
      <c r="A145" t="s">
        <v>14</v>
      </c>
      <c r="D145" s="1" t="str">
        <f t="shared" si="11"/>
        <v>Los Angeles, CA</v>
      </c>
      <c r="F145" s="1" t="str">
        <f>"""BC Live Database"",""Gurrentz"",""50013"",""20"",""LOSA"",""1"",""DEBU"",""10"",""126"",""40"",""AU"""</f>
        <v>"BC Live Database","Gurrentz","50013","20","LOSA","1","DEBU","10","126","40","AU"</v>
      </c>
      <c r="G145" s="3">
        <v>44499</v>
      </c>
      <c r="H145" t="str">
        <f>"Debussy"</f>
        <v>Debussy</v>
      </c>
      <c r="I145" t="str">
        <f>"126"</f>
        <v>126</v>
      </c>
    </row>
    <row r="146" spans="1:9" x14ac:dyDescent="0.3">
      <c r="A146" t="s">
        <v>14</v>
      </c>
      <c r="D146" s="1" t="str">
        <f t="shared" si="11"/>
        <v>Los Angeles, CA</v>
      </c>
      <c r="F146" s="1" t="str">
        <f>"""BC Live Database"",""Gurrentz"",""50013"",""20"",""LOSA"",""1"",""DEBU"",""10"",""126"",""40"",""NZ"""</f>
        <v>"BC Live Database","Gurrentz","50013","20","LOSA","1","DEBU","10","126","40","NZ"</v>
      </c>
      <c r="G146" s="3">
        <v>44499</v>
      </c>
      <c r="H146" t="str">
        <f>"Debussy"</f>
        <v>Debussy</v>
      </c>
      <c r="I146" t="str">
        <f>"126"</f>
        <v>126</v>
      </c>
    </row>
    <row r="147" spans="1:9" x14ac:dyDescent="0.3">
      <c r="A147" t="s">
        <v>14</v>
      </c>
      <c r="D147" s="1" t="str">
        <f t="shared" si="11"/>
        <v>Los Angeles, CA</v>
      </c>
      <c r="F147" s="1" t="str">
        <f>"""BC Live Database"",""Gurrentz"",""50013"",""20"",""LOSA"",""1"",""NYMA"",""10"",""613"",""40"",""NI"""</f>
        <v>"BC Live Database","Gurrentz","50013","20","LOSA","1","NYMA","10","613","40","NI"</v>
      </c>
      <c r="G147" s="3">
        <v>44502</v>
      </c>
      <c r="H147" t="str">
        <f>"NYK Maria"</f>
        <v>NYK Maria</v>
      </c>
      <c r="I147" t="str">
        <f>"613"</f>
        <v>613</v>
      </c>
    </row>
    <row r="148" spans="1:9" x14ac:dyDescent="0.3">
      <c r="A148" t="s">
        <v>14</v>
      </c>
      <c r="D148" s="1" t="str">
        <f t="shared" si="11"/>
        <v>Los Angeles, CA</v>
      </c>
      <c r="F148" s="1" t="str">
        <f>"""BC Live Database"",""Gurrentz"",""50013"",""20"",""LOSA"",""1"",""MAAL"",""10"",""140"",""40"",""NZ"""</f>
        <v>"BC Live Database","Gurrentz","50013","20","LOSA","1","MAAL","10","140","40","NZ"</v>
      </c>
      <c r="G148" s="3">
        <v>44504</v>
      </c>
      <c r="H148" t="str">
        <f>"Maersk Algol"</f>
        <v>Maersk Algol</v>
      </c>
      <c r="I148" t="str">
        <f>"140"</f>
        <v>140</v>
      </c>
    </row>
    <row r="149" spans="1:9" x14ac:dyDescent="0.3">
      <c r="A149" t="s">
        <v>14</v>
      </c>
      <c r="D149" s="1" t="str">
        <f t="shared" si="11"/>
        <v>Los Angeles, CA</v>
      </c>
      <c r="F149" s="1" t="str">
        <f>"""BC Live Database"",""Gurrentz"",""50013"",""20"",""LOSA"",""1"",""MANO"",""10"",""003"",""40"",""NI"""</f>
        <v>"BC Live Database","Gurrentz","50013","20","LOSA","1","MANO","10","003","40","NI"</v>
      </c>
      <c r="G149" s="3">
        <v>44504</v>
      </c>
      <c r="H149" t="str">
        <f>"Maersk Northwood"</f>
        <v>Maersk Northwood</v>
      </c>
      <c r="I149" t="str">
        <f>"003"</f>
        <v>003</v>
      </c>
    </row>
    <row r="150" spans="1:9" x14ac:dyDescent="0.3">
      <c r="A150" t="s">
        <v>14</v>
      </c>
      <c r="D150" s="1" t="str">
        <f t="shared" si="11"/>
        <v>Los Angeles, CA</v>
      </c>
      <c r="F150" s="1" t="str">
        <f>"""BC Live Database"",""Gurrentz"",""50013"",""20"",""LOSA"",""1"",""MANO"",""10"",""005"",""40"",""NI"""</f>
        <v>"BC Live Database","Gurrentz","50013","20","LOSA","1","MANO","10","005","40","NI"</v>
      </c>
      <c r="G150" s="3">
        <v>44515</v>
      </c>
      <c r="H150" t="str">
        <f>"Maersk Northwood"</f>
        <v>Maersk Northwood</v>
      </c>
      <c r="I150" t="str">
        <f>"005"</f>
        <v>005</v>
      </c>
    </row>
    <row r="151" spans="1:9" x14ac:dyDescent="0.3">
      <c r="A151" t="s">
        <v>14</v>
      </c>
      <c r="D151" s="1" t="str">
        <f t="shared" si="11"/>
        <v>Los Angeles, CA</v>
      </c>
      <c r="F151" s="1" t="str">
        <f>"""BC Live Database"",""Gurrentz"",""50013"",""20"",""LOSA"",""1"",""RIMA"",""10"",""131"",""40"",""NZ"""</f>
        <v>"BC Live Database","Gurrentz","50013","20","LOSA","1","RIMA","10","131","40","NZ"</v>
      </c>
      <c r="G151" s="3">
        <v>44515</v>
      </c>
      <c r="H151" t="str">
        <f>"Rio Madeira"</f>
        <v>Rio Madeira</v>
      </c>
      <c r="I151" t="str">
        <f>"131"</f>
        <v>131</v>
      </c>
    </row>
    <row r="152" spans="1:9" x14ac:dyDescent="0.3">
      <c r="A152" t="s">
        <v>14</v>
      </c>
      <c r="D152" s="1" t="str">
        <f t="shared" si="11"/>
        <v>Los Angeles, CA</v>
      </c>
      <c r="F152" s="1" t="str">
        <f>"""BC Live Database"",""Gurrentz"",""50013"",""20"",""LOSA"",""1"",""SYOK"",""10"",""136"",""40"",""AU"""</f>
        <v>"BC Live Database","Gurrentz","50013","20","LOSA","1","SYOK","10","136","40","AU"</v>
      </c>
      <c r="G152" s="3">
        <v>44515</v>
      </c>
      <c r="H152" t="str">
        <f>"Synergy Oakland"</f>
        <v>Synergy Oakland</v>
      </c>
      <c r="I152" t="str">
        <f>"136"</f>
        <v>136</v>
      </c>
    </row>
    <row r="153" spans="1:9" x14ac:dyDescent="0.3">
      <c r="A153" t="s">
        <v>14</v>
      </c>
      <c r="D153" s="1" t="str">
        <f t="shared" si="11"/>
        <v>Los Angeles, CA</v>
      </c>
      <c r="F153" s="1" t="str">
        <f>"""BC Live Database"",""Gurrentz"",""50013"",""20"",""LOSA"",""1"",""SYOK"",""10"",""136"",""40"",""NZ"""</f>
        <v>"BC Live Database","Gurrentz","50013","20","LOSA","1","SYOK","10","136","40","NZ"</v>
      </c>
      <c r="G153" s="3">
        <v>44515</v>
      </c>
      <c r="H153" t="str">
        <f>"Synergy Oakland"</f>
        <v>Synergy Oakland</v>
      </c>
      <c r="I153" t="str">
        <f>"136"</f>
        <v>136</v>
      </c>
    </row>
    <row r="154" spans="1:9" x14ac:dyDescent="0.3">
      <c r="A154" t="s">
        <v>14</v>
      </c>
      <c r="D154" s="1" t="str">
        <f t="shared" si="11"/>
        <v>Los Angeles, CA</v>
      </c>
      <c r="F154" s="1" t="str">
        <f>"""BC Live Database"",""Gurrentz"",""50013"",""20"",""LOSA"",""1"",""MSAL"",""10"",""137"",""40"",""AU"""</f>
        <v>"BC Live Database","Gurrentz","50013","20","LOSA","1","MSAL","10","137","40","AU"</v>
      </c>
      <c r="G154" s="3">
        <v>44518</v>
      </c>
      <c r="H154" t="str">
        <f>"MSC Alghero"</f>
        <v>MSC Alghero</v>
      </c>
      <c r="I154" t="str">
        <f>"137"</f>
        <v>137</v>
      </c>
    </row>
    <row r="155" spans="1:9" x14ac:dyDescent="0.3">
      <c r="A155" t="s">
        <v>14</v>
      </c>
      <c r="D155" s="1" t="str">
        <f t="shared" si="11"/>
        <v>Los Angeles, CA</v>
      </c>
      <c r="F155" s="1" t="str">
        <f>"""BC Live Database"",""Gurrentz"",""50013"",""20"",""LOSA"",""1"",""COCO"",""10"",""134"",""40"",""AU"""</f>
        <v>"BC Live Database","Gurrentz","50013","20","LOSA","1","COCO","10","134","40","AU"</v>
      </c>
      <c r="G155" s="3">
        <v>44520</v>
      </c>
      <c r="H155" t="str">
        <f>"Conti Cordoba"</f>
        <v>Conti Cordoba</v>
      </c>
      <c r="I155" t="str">
        <f>"134"</f>
        <v>134</v>
      </c>
    </row>
    <row r="156" spans="1:9" x14ac:dyDescent="0.3">
      <c r="A156" t="s">
        <v>14</v>
      </c>
      <c r="D156" s="1" t="str">
        <f t="shared" si="11"/>
        <v>Los Angeles, CA</v>
      </c>
      <c r="F156" s="1" t="str">
        <f>"""BC Live Database"",""Gurrentz"",""50013"",""20"",""LOSA"",""1"",""MALT"",""10"",""104"",""40"",""NZ"""</f>
        <v>"BC Live Database","Gurrentz","50013","20","LOSA","1","MALT","10","104","40","NZ"</v>
      </c>
      <c r="G156" s="3">
        <v>44520</v>
      </c>
      <c r="H156" t="str">
        <f>"Maersk Altair"</f>
        <v>Maersk Altair</v>
      </c>
      <c r="I156" t="str">
        <f>"104"</f>
        <v>104</v>
      </c>
    </row>
    <row r="157" spans="1:9" x14ac:dyDescent="0.3">
      <c r="A157" t="s">
        <v>14</v>
      </c>
      <c r="D157" s="1" t="str">
        <f t="shared" si="11"/>
        <v>Los Angeles, CA</v>
      </c>
      <c r="F157" s="1" t="str">
        <f>"""BC Live Database"",""Gurrentz"",""50013"",""20"",""LOSA"",""1"",""CAJE"",""10"",""135"",""40"",""AU"""</f>
        <v>"BC Live Database","Gurrentz","50013","20","LOSA","1","CAJE","10","135","40","AU"</v>
      </c>
      <c r="G157" s="3">
        <v>44522</v>
      </c>
      <c r="H157" t="str">
        <f>"Cap Jervis"</f>
        <v>Cap Jervis</v>
      </c>
      <c r="I157" t="str">
        <f>"135"</f>
        <v>135</v>
      </c>
    </row>
    <row r="158" spans="1:9" x14ac:dyDescent="0.3">
      <c r="A158" t="s">
        <v>14</v>
      </c>
      <c r="D158" s="1" t="str">
        <f t="shared" si="11"/>
        <v>Los Angeles, CA</v>
      </c>
      <c r="F158" s="1" t="str">
        <f>"""BC Live Database"",""Gurrentz"",""50013"",""20"",""LOSA"",""1"",""CAJE"",""10"",""135"",""40"",""NZ"""</f>
        <v>"BC Live Database","Gurrentz","50013","20","LOSA","1","CAJE","10","135","40","NZ"</v>
      </c>
      <c r="G158" s="3">
        <v>44522</v>
      </c>
      <c r="H158" t="str">
        <f>"Cap Jervis"</f>
        <v>Cap Jervis</v>
      </c>
      <c r="I158" t="str">
        <f>"135"</f>
        <v>135</v>
      </c>
    </row>
    <row r="159" spans="1:9" x14ac:dyDescent="0.3">
      <c r="A159" t="s">
        <v>14</v>
      </c>
      <c r="D159" s="1" t="str">
        <f t="shared" si="11"/>
        <v>Los Angeles, CA</v>
      </c>
      <c r="F159" s="1" t="str">
        <f>"""BC Live Database"",""Gurrentz"",""50013"",""20"",""LOSA"",""1"",""JPLI"",""10"",""111"",""40"",""NZ"""</f>
        <v>"BC Live Database","Gurrentz","50013","20","LOSA","1","JPLI","10","111","40","NZ"</v>
      </c>
      <c r="G159" s="3">
        <v>44527</v>
      </c>
      <c r="H159" t="str">
        <f>"JPO Libra"</f>
        <v>JPO Libra</v>
      </c>
      <c r="I159" t="str">
        <f>"111"</f>
        <v>111</v>
      </c>
    </row>
    <row r="160" spans="1:9" x14ac:dyDescent="0.3">
      <c r="A160" t="s">
        <v>14</v>
      </c>
      <c r="D160" s="1" t="str">
        <f t="shared" si="11"/>
        <v>Los Angeles, CA</v>
      </c>
      <c r="F160" s="1" t="str">
        <f>"""BC Live Database"",""Gurrentz"",""50013"",""20"",""LOSA"",""1"",""SERA"",""10"",""143"",""40"",""NZ"""</f>
        <v>"BC Live Database","Gurrentz","50013","20","LOSA","1","SERA","10","143","40","NZ"</v>
      </c>
      <c r="G160" s="3">
        <v>44528</v>
      </c>
      <c r="H160" t="str">
        <f>"Seaspan Raptor "</f>
        <v xml:space="preserve">Seaspan Raptor </v>
      </c>
      <c r="I160" t="str">
        <f>"143"</f>
        <v>143</v>
      </c>
    </row>
    <row r="161" spans="1:9" x14ac:dyDescent="0.3">
      <c r="A161" t="s">
        <v>14</v>
      </c>
      <c r="D161" s="1" t="str">
        <f t="shared" si="11"/>
        <v>Los Angeles, CA</v>
      </c>
      <c r="F161" s="1" t="str">
        <f>"""BC Live Database"",""Gurrentz"",""50013"",""20"",""LOSA"",""1"",""MSMD"",""10"",""140"",""40"",""BR"""</f>
        <v>"BC Live Database","Gurrentz","50013","20","LOSA","1","MSMD","10","140","40","BR"</v>
      </c>
      <c r="G161" s="3">
        <v>44534</v>
      </c>
      <c r="H161" t="str">
        <f>"MSC Madhu  "</f>
        <v xml:space="preserve">MSC Madhu  </v>
      </c>
      <c r="I161" t="str">
        <f>"140"</f>
        <v>140</v>
      </c>
    </row>
    <row r="162" spans="1:9" x14ac:dyDescent="0.3">
      <c r="A162" t="s">
        <v>14</v>
      </c>
      <c r="D162" s="1" t="str">
        <f t="shared" si="11"/>
        <v>Los Angeles, CA</v>
      </c>
      <c r="F162" s="1" t="str">
        <f>"""BC Live Database"",""Gurrentz"",""50013"",""20"",""LOSA"",""1"",""AINO"",""10"",""144"",""40"",""BR"""</f>
        <v>"BC Live Database","Gurrentz","50013","20","LOSA","1","AINO","10","144","40","BR"</v>
      </c>
      <c r="G162" s="3">
        <v>44537</v>
      </c>
      <c r="H162" t="str">
        <f>"AINO"</f>
        <v>AINO</v>
      </c>
      <c r="I162" t="str">
        <f>"144"</f>
        <v>144</v>
      </c>
    </row>
    <row r="163" spans="1:9" x14ac:dyDescent="0.3">
      <c r="A163" t="s">
        <v>14</v>
      </c>
      <c r="D163" s="1" t="str">
        <f t="shared" si="11"/>
        <v>Los Angeles, CA</v>
      </c>
      <c r="F163" s="1" t="str">
        <f>"""BC Live Database"",""Gurrentz"",""50013"",""20"",""LOSA"",""1"",""MATD"",""10"",""144"",""40"",""BR"""</f>
        <v>"BC Live Database","Gurrentz","50013","20","LOSA","1","MATD","10","144","40","BR"</v>
      </c>
      <c r="G163" s="3">
        <v>44539</v>
      </c>
      <c r="H163" t="str">
        <f>"MSC Matilde"</f>
        <v>MSC Matilde</v>
      </c>
      <c r="I163" t="str">
        <f>"144"</f>
        <v>144</v>
      </c>
    </row>
    <row r="164" spans="1:9" x14ac:dyDescent="0.3">
      <c r="A164" t="s">
        <v>14</v>
      </c>
      <c r="D164" s="1" t="str">
        <f t="shared" si="11"/>
        <v>Los Angeles, CA</v>
      </c>
      <c r="F164" s="1" t="str">
        <f>"""BC Live Database"",""Gurrentz"",""50013"",""20"",""LOSA"",""1"",""MSAS"",""10"",""141"",""40"",""AU"""</f>
        <v>"BC Live Database","Gurrentz","50013","20","LOSA","1","MSAS","10","141","40","AU"</v>
      </c>
      <c r="G164" s="3">
        <v>44540</v>
      </c>
      <c r="H164" t="str">
        <f>"MSC Asya"</f>
        <v>MSC Asya</v>
      </c>
      <c r="I164" t="str">
        <f>"141"</f>
        <v>141</v>
      </c>
    </row>
    <row r="165" spans="1:9" x14ac:dyDescent="0.3">
      <c r="A165" t="s">
        <v>14</v>
      </c>
      <c r="D165" s="1" t="str">
        <f t="shared" si="11"/>
        <v>Los Angeles, CA</v>
      </c>
      <c r="F165" s="1" t="str">
        <f>"""BC Live Database"",""Gurrentz"",""50013"",""20"",""LOSA"",""1"",""NOGU"",""10"",""139"",""40"",""AU"""</f>
        <v>"BC Live Database","Gurrentz","50013","20","LOSA","1","NOGU","10","139","40","AU"</v>
      </c>
      <c r="G165" s="3">
        <v>44541</v>
      </c>
      <c r="H165" t="str">
        <f>"Northern Guild"</f>
        <v>Northern Guild</v>
      </c>
      <c r="I165" t="str">
        <f>"139"</f>
        <v>139</v>
      </c>
    </row>
    <row r="166" spans="1:9" x14ac:dyDescent="0.3">
      <c r="A166" t="s">
        <v>14</v>
      </c>
      <c r="D166" s="1" t="str">
        <f t="shared" si="11"/>
        <v>Los Angeles, CA</v>
      </c>
      <c r="F166" s="1" t="str">
        <f>"""BC Live Database"",""Gurrentz"",""50013"",""20"",""LOSA"",""1"",""NOGU"",""10"",""139"",""40"",""NZ"""</f>
        <v>"BC Live Database","Gurrentz","50013","20","LOSA","1","NOGU","10","139","40","NZ"</v>
      </c>
      <c r="G166" s="3">
        <v>44541</v>
      </c>
      <c r="H166" t="str">
        <f>"Northern Guild"</f>
        <v>Northern Guild</v>
      </c>
      <c r="I166" t="str">
        <f>"139"</f>
        <v>139</v>
      </c>
    </row>
    <row r="167" spans="1:9" x14ac:dyDescent="0.3">
      <c r="A167" t="s">
        <v>14</v>
      </c>
      <c r="D167" s="1" t="str">
        <f t="shared" si="11"/>
        <v>Los Angeles, CA</v>
      </c>
      <c r="F167" s="1" t="str">
        <f>"""BC Live Database"",""Gurrentz"",""50013"",""20"",""LOSA"",""1"",""TAVV"",""10"",""145"",""40"",""BR"""</f>
        <v>"BC Live Database","Gurrentz","50013","20","LOSA","1","TAVV","10","145","40","BR"</v>
      </c>
      <c r="G167" s="3">
        <v>44542</v>
      </c>
      <c r="H167" t="str">
        <f>"MSC Tavvish"</f>
        <v>MSC Tavvish</v>
      </c>
      <c r="I167" t="str">
        <f>"145"</f>
        <v>145</v>
      </c>
    </row>
    <row r="168" spans="1:9" x14ac:dyDescent="0.3">
      <c r="A168" t="s">
        <v>14</v>
      </c>
      <c r="D168" s="1" t="str">
        <f t="shared" si="11"/>
        <v>Los Angeles, CA</v>
      </c>
      <c r="F168" s="1" t="str">
        <f>"""BC Live Database"",""Gurrentz"",""50013"",""20"",""LOSA"",""1"",""GEMA"",""10"",""144"",""40"",""NZ"""</f>
        <v>"BC Live Database","Gurrentz","50013","20","LOSA","1","GEMA","10","144","40","NZ"</v>
      </c>
      <c r="G168" s="3">
        <v>44543</v>
      </c>
      <c r="H168" t="str">
        <f>"George Maersk"</f>
        <v>George Maersk</v>
      </c>
      <c r="I168" t="str">
        <f>"144"</f>
        <v>144</v>
      </c>
    </row>
    <row r="169" spans="1:9" x14ac:dyDescent="0.3">
      <c r="A169" t="s">
        <v>14</v>
      </c>
      <c r="D169" s="1" t="str">
        <f t="shared" si="11"/>
        <v>Los Angeles, CA</v>
      </c>
      <c r="F169" s="1" t="str">
        <f>"""BC Live Database"",""Gurrentz"",""50013"",""20"",""LOSA"",""1"",""MNOA"",""10"",""145"",""40"",""BR"""</f>
        <v>"BC Live Database","Gurrentz","50013","20","LOSA","1","MNOA","10","145","40","BR"</v>
      </c>
      <c r="G169" s="3">
        <v>44543</v>
      </c>
      <c r="H169" t="str">
        <f>"MSC Noa"</f>
        <v>MSC Noa</v>
      </c>
      <c r="I169" t="str">
        <f>"145"</f>
        <v>145</v>
      </c>
    </row>
    <row r="170" spans="1:9" x14ac:dyDescent="0.3">
      <c r="A170" t="s">
        <v>14</v>
      </c>
      <c r="D170" s="1" t="str">
        <f t="shared" si="11"/>
        <v>Los Angeles, CA</v>
      </c>
      <c r="F170" s="1" t="str">
        <f>"""BC Live Database"",""Gurrentz"",""50013"",""20"",""LOSA"",""1"",""JOAN"",""10"",""156"",""40"",""NI"""</f>
        <v>"BC Live Database","Gurrentz","50013","20","LOSA","1","JOAN","10","156","40","NI"</v>
      </c>
      <c r="G170" s="3">
        <v>44547</v>
      </c>
      <c r="H170" t="str">
        <f>"NYK Joanna "</f>
        <v xml:space="preserve">NYK Joanna </v>
      </c>
      <c r="I170" t="str">
        <f>"156"</f>
        <v>156</v>
      </c>
    </row>
    <row r="171" spans="1:9" x14ac:dyDescent="0.3">
      <c r="A171" t="s">
        <v>14</v>
      </c>
      <c r="D171" s="1" t="str">
        <f t="shared" si="11"/>
        <v>Los Angeles, CA</v>
      </c>
      <c r="F171" s="1" t="str">
        <f>"""BC Live Database"",""Gurrentz"",""50013"",""20"",""LOSA"",""1"",""TOLT"",""10"",""2140"",""40"",""BR"""</f>
        <v>"BC Live Database","Gurrentz","50013","20","LOSA","1","TOLT","10","2140","40","BR"</v>
      </c>
      <c r="G171" s="3">
        <v>44547</v>
      </c>
      <c r="H171" t="str">
        <f>"Tolten"</f>
        <v>Tolten</v>
      </c>
      <c r="I171" t="str">
        <f>"2140"</f>
        <v>2140</v>
      </c>
    </row>
    <row r="172" spans="1:9" x14ac:dyDescent="0.3">
      <c r="A172" t="s">
        <v>14</v>
      </c>
      <c r="D172" s="1" t="str">
        <f t="shared" si="11"/>
        <v>Los Angeles, CA</v>
      </c>
      <c r="F172" s="1" t="str">
        <f>"""BC Live Database"",""Gurrentz"",""50013"",""20"",""LOSA"",""1"",""MATE"",""10"",""128"",""40"",""NZ"""</f>
        <v>"BC Live Database","Gurrentz","50013","20","LOSA","1","MATE","10","128","40","NZ"</v>
      </c>
      <c r="G172" s="3">
        <v>44548</v>
      </c>
      <c r="H172" t="str">
        <f>"Mate"</f>
        <v>Mate</v>
      </c>
      <c r="I172" t="str">
        <f>"128"</f>
        <v>128</v>
      </c>
    </row>
    <row r="173" spans="1:9" x14ac:dyDescent="0.3">
      <c r="A173" t="s">
        <v>14</v>
      </c>
      <c r="D173" s="1" t="str">
        <f t="shared" si="11"/>
        <v>Los Angeles, CA</v>
      </c>
      <c r="F173" s="1" t="str">
        <f>"""BC Live Database"",""Gurrentz"",""50013"",""20"",""LOSA"",""1"",""MATI"",""10"",""144"",""40"",""BR"""</f>
        <v>"BC Live Database","Gurrentz","50013","20","LOSA","1","MATI","10","144","40","BR"</v>
      </c>
      <c r="G173" s="3">
        <v>44549</v>
      </c>
      <c r="H173" t="str">
        <f>"Matilde"</f>
        <v>Matilde</v>
      </c>
      <c r="I173" t="str">
        <f>"144"</f>
        <v>144</v>
      </c>
    </row>
    <row r="174" spans="1:9" x14ac:dyDescent="0.3">
      <c r="A174" t="s">
        <v>14</v>
      </c>
      <c r="D174" s="1" t="str">
        <f t="shared" si="11"/>
        <v>Los Angeles, CA</v>
      </c>
      <c r="F174" s="1" t="str">
        <f>"""BC Live Database"",""Gurrentz"",""50013"",""20"",""LOSA"",""1"",""MATE"",""10"",""128"",""40"",""AU"""</f>
        <v>"BC Live Database","Gurrentz","50013","20","LOSA","1","MATE","10","128","40","AU"</v>
      </c>
      <c r="G174" s="3">
        <v>44552</v>
      </c>
      <c r="H174" t="str">
        <f>"Mate"</f>
        <v>Mate</v>
      </c>
      <c r="I174" t="str">
        <f>"128"</f>
        <v>128</v>
      </c>
    </row>
    <row r="175" spans="1:9" x14ac:dyDescent="0.3">
      <c r="A175" t="s">
        <v>14</v>
      </c>
      <c r="D175" s="1" t="str">
        <f t="shared" si="11"/>
        <v>Los Angeles, CA</v>
      </c>
      <c r="F175" s="1" t="str">
        <f>"""BC Live Database"",""Gurrentz"",""50013"",""20"",""LOSA"",""1"",""SYKE"",""10"",""191"",""40"",""NZ"""</f>
        <v>"BC Live Database","Gurrentz","50013","20","LOSA","1","SYKE","10","191","40","NZ"</v>
      </c>
      <c r="G175" s="3">
        <v>44552</v>
      </c>
      <c r="H175" t="str">
        <f>"Synergy Keelung"</f>
        <v>Synergy Keelung</v>
      </c>
      <c r="I175" t="str">
        <f>"191"</f>
        <v>191</v>
      </c>
    </row>
    <row r="176" spans="1:9" x14ac:dyDescent="0.3">
      <c r="A176" t="s">
        <v>14</v>
      </c>
      <c r="D176" s="1" t="str">
        <f t="shared" si="11"/>
        <v>Los Angeles, CA</v>
      </c>
      <c r="F176" s="1" t="str">
        <f>"""BC Live Database"",""Gurrentz"",""50013"",""20"",""LOSA"",""1"",""NOAA"",""10"",""145"",""40"",""BR"""</f>
        <v>"BC Live Database","Gurrentz","50013","20","LOSA","1","NOAA","10","145","40","BR"</v>
      </c>
      <c r="G176" s="3">
        <v>44553</v>
      </c>
      <c r="H176" t="str">
        <f>"NOA"</f>
        <v>NOA</v>
      </c>
      <c r="I176" t="str">
        <f>"145"</f>
        <v>145</v>
      </c>
    </row>
    <row r="177" spans="1:9" x14ac:dyDescent="0.3">
      <c r="A177" t="s">
        <v>14</v>
      </c>
      <c r="D177" s="1" t="str">
        <f t="shared" si="11"/>
        <v>Los Angeles, CA</v>
      </c>
      <c r="F177" s="1" t="str">
        <f>"""BC Live Database"",""Gurrentz"",""50013"",""20"",""LOSA"",""1"",""MSDA"",""10"",""144"",""40"",""BR"""</f>
        <v>"BC Live Database","Gurrentz","50013","20","LOSA","1","MSDA","10","144","40","BR"</v>
      </c>
      <c r="G177" s="3">
        <v>44555</v>
      </c>
      <c r="H177" t="str">
        <f>"MSC Dardanelles"</f>
        <v>MSC Dardanelles</v>
      </c>
      <c r="I177" t="str">
        <f>"144"</f>
        <v>144</v>
      </c>
    </row>
    <row r="178" spans="1:9" x14ac:dyDescent="0.3">
      <c r="A178" t="s">
        <v>14</v>
      </c>
      <c r="D178" s="1" t="str">
        <f t="shared" si="11"/>
        <v>Los Angeles, CA</v>
      </c>
      <c r="F178" s="1" t="str">
        <f>"""BC Live Database"",""Gurrentz"",""50013"",""20"",""LOSA"",""1"",""COCO"",""10"",""134"",""40"",""NZ"""</f>
        <v>"BC Live Database","Gurrentz","50013","20","LOSA","1","COCO","10","134","40","NZ"</v>
      </c>
      <c r="G178" s="3">
        <v>44557</v>
      </c>
      <c r="H178" t="str">
        <f>"Conti Cordoba"</f>
        <v>Conti Cordoba</v>
      </c>
      <c r="I178" t="str">
        <f>"134"</f>
        <v>134</v>
      </c>
    </row>
    <row r="179" spans="1:9" x14ac:dyDescent="0.3">
      <c r="A179" t="s">
        <v>14</v>
      </c>
      <c r="D179" s="1" t="str">
        <f t="shared" si="11"/>
        <v>Los Angeles, CA</v>
      </c>
      <c r="F179" s="1" t="str">
        <f>"""BC Live Database"",""Gurrentz"",""50013"",""20"",""LOSA"",""1"",""KOLA"",""10"",""055"",""40"",""AU"""</f>
        <v>"BC Live Database","Gurrentz","50013","20","LOSA","1","KOLA","10","055","40","AU"</v>
      </c>
      <c r="G179" s="3">
        <v>44558</v>
      </c>
      <c r="H179" t="str">
        <f>"Kota Laris"</f>
        <v>Kota Laris</v>
      </c>
      <c r="I179" t="str">
        <f>"055"</f>
        <v>055</v>
      </c>
    </row>
    <row r="180" spans="1:9" x14ac:dyDescent="0.3">
      <c r="A180" t="s">
        <v>14</v>
      </c>
      <c r="D180" s="1" t="str">
        <f t="shared" si="11"/>
        <v>Los Angeles, CA</v>
      </c>
      <c r="F180" s="1" t="str">
        <f>"""BC Live Database"",""Gurrentz"",""50013"",""20"",""LOSA"",""1"",""MANO"",""10"",""149"",""40"",""BR"""</f>
        <v>"BC Live Database","Gurrentz","50013","20","LOSA","1","MANO","10","149","40","BR"</v>
      </c>
      <c r="G180" s="3">
        <v>44564</v>
      </c>
      <c r="H180" t="str">
        <f>"Maersk Northwood"</f>
        <v>Maersk Northwood</v>
      </c>
      <c r="I180" t="str">
        <f>"149"</f>
        <v>149</v>
      </c>
    </row>
    <row r="181" spans="1:9" x14ac:dyDescent="0.3">
      <c r="A181" t="s">
        <v>14</v>
      </c>
      <c r="D181" s="1" t="str">
        <f t="shared" si="11"/>
        <v>Los Angeles, CA</v>
      </c>
      <c r="F181" s="1" t="str">
        <f>"""BC Live Database"",""Gurrentz"",""50013"",""20"",""LOSA"",""1"",""MANO"",""10"",""149"",""40"",""NI"""</f>
        <v>"BC Live Database","Gurrentz","50013","20","LOSA","1","MANO","10","149","40","NI"</v>
      </c>
      <c r="G181" s="3">
        <v>44564</v>
      </c>
      <c r="H181" t="str">
        <f>"Maersk Northwood"</f>
        <v>Maersk Northwood</v>
      </c>
      <c r="I181" t="str">
        <f>"149"</f>
        <v>149</v>
      </c>
    </row>
    <row r="182" spans="1:9" x14ac:dyDescent="0.3">
      <c r="A182" t="s">
        <v>14</v>
      </c>
      <c r="D182" s="1" t="str">
        <f t="shared" si="11"/>
        <v>Los Angeles, CA</v>
      </c>
      <c r="F182" s="1" t="str">
        <f>"""BC Live Database"",""Gurrentz"",""50013"",""20"",""LOSA"",""1"",""SYKE"",""10"",""137"",""40"",""AU"""</f>
        <v>"BC Live Database","Gurrentz","50013","20","LOSA","1","SYKE","10","137","40","AU"</v>
      </c>
      <c r="G182" s="3">
        <v>44567</v>
      </c>
      <c r="H182" t="str">
        <f>"Synergy Keelung"</f>
        <v>Synergy Keelung</v>
      </c>
      <c r="I182" t="str">
        <f>"137"</f>
        <v>137</v>
      </c>
    </row>
    <row r="183" spans="1:9" x14ac:dyDescent="0.3">
      <c r="A183" t="s">
        <v>14</v>
      </c>
      <c r="D183" s="1" t="str">
        <f t="shared" si="11"/>
        <v>Los Angeles, CA</v>
      </c>
      <c r="F183" s="1" t="str">
        <f>"""BC Live Database"",""Gurrentz"",""50013"",""20"",""LOSA"",""1"",""SYKE"",""10"",""137"",""40"",""NZ"""</f>
        <v>"BC Live Database","Gurrentz","50013","20","LOSA","1","SYKE","10","137","40","NZ"</v>
      </c>
      <c r="G183" s="3">
        <v>44567</v>
      </c>
      <c r="H183" t="str">
        <f>"Synergy Keelung"</f>
        <v>Synergy Keelung</v>
      </c>
      <c r="I183" t="str">
        <f>"137"</f>
        <v>137</v>
      </c>
    </row>
    <row r="184" spans="1:9" x14ac:dyDescent="0.3">
      <c r="A184" t="s">
        <v>14</v>
      </c>
      <c r="D184" s="1" t="str">
        <f t="shared" si="11"/>
        <v>Los Angeles, CA</v>
      </c>
      <c r="F184" s="1" t="str">
        <f>"""BC Live Database"",""Gurrentz"",""50013"",""20"",""LOSA"",""1"",""YANG"",""10"",""146"",""40"",""BR"""</f>
        <v>"BC Live Database","Gurrentz","50013","20","LOSA","1","YANG","10","146","40","BR"</v>
      </c>
      <c r="G184" s="3">
        <v>44567</v>
      </c>
      <c r="H184" t="str">
        <f>"Maersk Yangtze"</f>
        <v>Maersk Yangtze</v>
      </c>
      <c r="I184" t="str">
        <f>"146"</f>
        <v>146</v>
      </c>
    </row>
    <row r="185" spans="1:9" x14ac:dyDescent="0.3">
      <c r="A185" t="s">
        <v>14</v>
      </c>
      <c r="D185" s="1" t="str">
        <f t="shared" si="11"/>
        <v>Los Angeles, CA</v>
      </c>
      <c r="F185" s="1" t="str">
        <f>"""BC Live Database"",""Gurrentz"",""50013"",""20"",""LOSA"",""1"",""MKAT"",""10"",""144"",""40"",""NZ"""</f>
        <v>"BC Live Database","Gurrentz","50013","20","LOSA","1","MKAT","10","144","40","NZ"</v>
      </c>
      <c r="G185" s="3">
        <v>44569</v>
      </c>
      <c r="H185" t="str">
        <f>"MSC Katie"</f>
        <v>MSC Katie</v>
      </c>
      <c r="I185" t="str">
        <f>"144"</f>
        <v>144</v>
      </c>
    </row>
    <row r="186" spans="1:9" x14ac:dyDescent="0.3">
      <c r="A186" t="s">
        <v>14</v>
      </c>
      <c r="D186" s="1" t="str">
        <f t="shared" si="11"/>
        <v>Los Angeles, CA</v>
      </c>
      <c r="F186" s="1" t="str">
        <f>"""BC Live Database"",""Gurrentz"",""50013"",""20"",""LOSA"",""1"",""MSNI"",""10"",""144"",""40"",""BR"""</f>
        <v>"BC Live Database","Gurrentz","50013","20","LOSA","1","MSNI","10","144","40","BR"</v>
      </c>
      <c r="G186" s="3">
        <v>44571</v>
      </c>
      <c r="H186" t="str">
        <f>"MSC Nitya "</f>
        <v xml:space="preserve">MSC Nitya </v>
      </c>
      <c r="I186" t="str">
        <f>"144"</f>
        <v>144</v>
      </c>
    </row>
    <row r="187" spans="1:9" x14ac:dyDescent="0.3">
      <c r="A187" t="s">
        <v>14</v>
      </c>
      <c r="D187" s="1" t="str">
        <f t="shared" si="11"/>
        <v>Los Angeles, CA</v>
      </c>
      <c r="F187" s="1" t="str">
        <f>"""BC Live Database"",""Gurrentz"",""50013"",""20"",""LOSA"",""1"",""BRBE"",""10"",""149"",""40"",""BR"""</f>
        <v>"BC Live Database","Gurrentz","50013","20","LOSA","1","BRBE","10","149","40","BR"</v>
      </c>
      <c r="G187" s="3">
        <v>44572</v>
      </c>
      <c r="H187" t="str">
        <f>"Bremen Belle"</f>
        <v>Bremen Belle</v>
      </c>
      <c r="I187" t="str">
        <f>"149"</f>
        <v>149</v>
      </c>
    </row>
    <row r="188" spans="1:9" x14ac:dyDescent="0.3">
      <c r="A188" t="s">
        <v>14</v>
      </c>
      <c r="D188" s="1" t="str">
        <f t="shared" si="11"/>
        <v>Los Angeles, CA</v>
      </c>
      <c r="F188" s="1" t="str">
        <f>"""BC Live Database"",""Gurrentz"",""50013"",""20"",""LOSA"",""1"",""SPSH"",""10"",""149"",""40"",""NZ"""</f>
        <v>"BC Live Database","Gurrentz","50013","20","LOSA","1","SPSH","10","149","40","NZ"</v>
      </c>
      <c r="G188" s="3">
        <v>44572</v>
      </c>
      <c r="H188" t="str">
        <f>"Spirit of Shanghai"</f>
        <v>Spirit of Shanghai</v>
      </c>
      <c r="I188" t="str">
        <f>"149"</f>
        <v>149</v>
      </c>
    </row>
    <row r="189" spans="1:9" x14ac:dyDescent="0.3">
      <c r="A189" t="s">
        <v>14</v>
      </c>
      <c r="D189" s="1" t="str">
        <f t="shared" si="11"/>
        <v>Los Angeles, CA</v>
      </c>
      <c r="F189" s="1" t="str">
        <f>"""BC Live Database"",""Gurrentz"",""50013"",""20"",""LOSA"",""1"",""CMAM"",""10"",""01"",""40"",""AU"""</f>
        <v>"BC Live Database","Gurrentz","50013","20","LOSA","1","CMAM","10","01","40","AU"</v>
      </c>
      <c r="G189" s="3">
        <v>44574</v>
      </c>
      <c r="H189" t="str">
        <f>"CMA CGM MARCO POLO"</f>
        <v>CMA CGM MARCO POLO</v>
      </c>
      <c r="I189" t="str">
        <f>"01"</f>
        <v>01</v>
      </c>
    </row>
    <row r="190" spans="1:9" x14ac:dyDescent="0.3">
      <c r="A190" t="s">
        <v>14</v>
      </c>
      <c r="D190" s="1" t="str">
        <f t="shared" si="11"/>
        <v>Los Angeles, CA</v>
      </c>
      <c r="F190" s="1" t="str">
        <f>"""BC Live Database"",""Gurrentz"",""50013"",""20"",""LOSA"",""1"",""RIBR"",""10"",""141"",""40"",""NZ"""</f>
        <v>"BC Live Database","Gurrentz","50013","20","LOSA","1","RIBR","10","141","40","NZ"</v>
      </c>
      <c r="G190" s="3">
        <v>44578</v>
      </c>
      <c r="H190" t="str">
        <f>"Rio Bravo"</f>
        <v>Rio Bravo</v>
      </c>
      <c r="I190" t="str">
        <f>"141"</f>
        <v>141</v>
      </c>
    </row>
    <row r="191" spans="1:9" x14ac:dyDescent="0.3">
      <c r="A191" t="s">
        <v>14</v>
      </c>
      <c r="D191" s="1" t="str">
        <f t="shared" si="11"/>
        <v>Los Angeles, CA</v>
      </c>
      <c r="F191" s="1" t="str">
        <f>"""BC Live Database"",""Gurrentz"",""50013"",""20"",""LOSA"",""1"",""AGDI"",""10"",""150"",""40"",""BR"""</f>
        <v>"BC Live Database","Gurrentz","50013","20","LOSA","1","AGDI","10","150","40","BR"</v>
      </c>
      <c r="G191" s="3">
        <v>44580</v>
      </c>
      <c r="H191" t="str">
        <f>"Agios Dimitrios"</f>
        <v>Agios Dimitrios</v>
      </c>
      <c r="I191" t="str">
        <f>"150"</f>
        <v>150</v>
      </c>
    </row>
    <row r="192" spans="1:9" x14ac:dyDescent="0.3">
      <c r="A192" t="s">
        <v>14</v>
      </c>
      <c r="D192" s="1" t="str">
        <f t="shared" si="11"/>
        <v>Los Angeles, CA</v>
      </c>
      <c r="F192" s="1" t="str">
        <f>"""BC Live Database"",""Gurrentz"",""50013"",""20"",""LOSA"",""1"",""MANO"",""10"",""041"",""40"",""NI"""</f>
        <v>"BC Live Database","Gurrentz","50013","20","LOSA","1","MANO","10","041","40","NI"</v>
      </c>
      <c r="G192" s="3">
        <v>44585</v>
      </c>
      <c r="H192" t="str">
        <f>"Maersk Northwood"</f>
        <v>Maersk Northwood</v>
      </c>
      <c r="I192" t="str">
        <f>"041"</f>
        <v>041</v>
      </c>
    </row>
    <row r="193" spans="1:9" x14ac:dyDescent="0.3">
      <c r="A193" t="s">
        <v>14</v>
      </c>
      <c r="D193" s="1" t="str">
        <f t="shared" si="11"/>
        <v>Los Angeles, CA</v>
      </c>
      <c r="F193" s="1" t="str">
        <f>"""BC Live Database"",""Gurrentz"",""50013"",""20"",""LOSA"",""1"",""CAJU"",""10"",""148"",""40"",""NZ"""</f>
        <v>"BC Live Database","Gurrentz","50013","20","LOSA","1","CAJU","10","148","40","NZ"</v>
      </c>
      <c r="G193" s="3">
        <v>44586</v>
      </c>
      <c r="H193" t="str">
        <f>"Cap San Juan"</f>
        <v>Cap San Juan</v>
      </c>
      <c r="I193" t="str">
        <f>"148"</f>
        <v>148</v>
      </c>
    </row>
    <row r="194" spans="1:9" x14ac:dyDescent="0.3">
      <c r="A194" t="s">
        <v>14</v>
      </c>
      <c r="D194" s="1" t="str">
        <f t="shared" si="11"/>
        <v>Los Angeles, CA</v>
      </c>
      <c r="F194" s="1" t="str">
        <f>"""BC Live Database"",""Gurrentz"",""50013"",""20"",""LOSA"",""1"",""MSGA"",""10"",""145"",""40"",""BR"""</f>
        <v>"BC Live Database","Gurrentz","50013","20","LOSA","1","MSGA","10","145","40","BR"</v>
      </c>
      <c r="G194" s="3">
        <v>44586</v>
      </c>
      <c r="H194" t="str">
        <f>"MSC Gayane"</f>
        <v>MSC Gayane</v>
      </c>
      <c r="I194" t="str">
        <f>"145"</f>
        <v>145</v>
      </c>
    </row>
    <row r="195" spans="1:9" x14ac:dyDescent="0.3">
      <c r="A195" t="s">
        <v>14</v>
      </c>
      <c r="D195" s="1" t="str">
        <f t="shared" si="11"/>
        <v>Los Angeles, CA</v>
      </c>
      <c r="F195" s="1" t="str">
        <f>"""BC Live Database"",""Gurrentz"",""50013"",""20"",""LOSA"",""1"",""ROEX"",""10"",""245"",""40"",""BR"""</f>
        <v>"BC Live Database","Gurrentz","50013","20","LOSA","1","ROEX","10","245","40","BR"</v>
      </c>
      <c r="G195" s="3">
        <v>44586</v>
      </c>
      <c r="H195" t="str">
        <f>"Rotterdam Express"</f>
        <v>Rotterdam Express</v>
      </c>
      <c r="I195" t="str">
        <f>"245"</f>
        <v>245</v>
      </c>
    </row>
    <row r="196" spans="1:9" x14ac:dyDescent="0.3">
      <c r="A196" t="s">
        <v>14</v>
      </c>
      <c r="D196" s="1" t="str">
        <f t="shared" si="11"/>
        <v>Los Angeles, CA</v>
      </c>
      <c r="F196" s="1" t="str">
        <f>"""BC Live Database"",""Gurrentz"",""50013"",""20"",""LOSA"",""1"",""DUTC"",""10"",""139"",""40"",""NZ"""</f>
        <v>"BC Live Database","Gurrentz","50013","20","LOSA","1","DUTC","10","139","40","NZ"</v>
      </c>
      <c r="G196" s="3">
        <v>44590</v>
      </c>
      <c r="H196" t="str">
        <f>"CMA CGM Dutch Harbor"</f>
        <v>CMA CGM Dutch Harbor</v>
      </c>
      <c r="I196" t="str">
        <f>"139"</f>
        <v>139</v>
      </c>
    </row>
    <row r="197" spans="1:9" x14ac:dyDescent="0.3">
      <c r="A197" t="s">
        <v>14</v>
      </c>
      <c r="D197" s="1" t="str">
        <f t="shared" si="11"/>
        <v>Los Angeles, CA</v>
      </c>
      <c r="F197" s="1" t="str">
        <f>"""BC Live Database"",""Gurrentz"",""50013"",""20"",""LOSA"",""1"",""BALAO"",""10"",""315"",""40"",""NI"""</f>
        <v>"BC Live Database","Gurrentz","50013","20","LOSA","1","BALAO","10","315","40","NI"</v>
      </c>
      <c r="G197" s="3">
        <v>44592</v>
      </c>
      <c r="H197" t="str">
        <f>"Balao"</f>
        <v>Balao</v>
      </c>
      <c r="I197" t="str">
        <f>"315"</f>
        <v>315</v>
      </c>
    </row>
    <row r="198" spans="1:9" x14ac:dyDescent="0.3">
      <c r="A198" t="s">
        <v>14</v>
      </c>
      <c r="D198" s="1" t="str">
        <f t="shared" ref="D198:D261" si="12">D197</f>
        <v>Los Angeles, CA</v>
      </c>
      <c r="F198" s="1" t="str">
        <f>"""BC Live Database"",""Gurrentz"",""50013"",""20"",""LOSA"",""1"",""WILL"",""10"",""124"",""40"",""AU"""</f>
        <v>"BC Live Database","Gurrentz","50013","20","LOSA","1","WILL","10","124","40","AU"</v>
      </c>
      <c r="G198" s="3">
        <v>44593</v>
      </c>
      <c r="H198" t="str">
        <f>"William"</f>
        <v>William</v>
      </c>
      <c r="I198" t="str">
        <f>"124"</f>
        <v>124</v>
      </c>
    </row>
    <row r="199" spans="1:9" x14ac:dyDescent="0.3">
      <c r="A199" t="s">
        <v>14</v>
      </c>
      <c r="D199" s="1" t="str">
        <f t="shared" si="12"/>
        <v>Los Angeles, CA</v>
      </c>
      <c r="F199" s="1" t="str">
        <f>"""BC Live Database"",""Gurrentz"",""50013"",""20"",""LOSA"",""1"",""ANWA"",""10"",""145"",""40"",""AU"""</f>
        <v>"BC Live Database","Gurrentz","50013","20","LOSA","1","ANWA","10","145","40","AU"</v>
      </c>
      <c r="G199" s="3">
        <v>44595</v>
      </c>
      <c r="H199" t="str">
        <f>"ANL Warrnambool"</f>
        <v>ANL Warrnambool</v>
      </c>
      <c r="I199" t="str">
        <f>"145"</f>
        <v>145</v>
      </c>
    </row>
    <row r="200" spans="1:9" x14ac:dyDescent="0.3">
      <c r="A200" t="s">
        <v>14</v>
      </c>
      <c r="D200" s="1" t="str">
        <f t="shared" si="12"/>
        <v>Los Angeles, CA</v>
      </c>
      <c r="F200" s="1" t="str">
        <f>"""BC Live Database"",""Gurrentz"",""50013"",""20"",""LOSA"",""1"",""ANWA"",""10"",""145"",""40"",""NZ"""</f>
        <v>"BC Live Database","Gurrentz","50013","20","LOSA","1","ANWA","10","145","40","NZ"</v>
      </c>
      <c r="G200" s="3">
        <v>44595</v>
      </c>
      <c r="H200" t="str">
        <f>"ANL Warrnambool"</f>
        <v>ANL Warrnambool</v>
      </c>
      <c r="I200" t="str">
        <f>"145"</f>
        <v>145</v>
      </c>
    </row>
    <row r="201" spans="1:9" x14ac:dyDescent="0.3">
      <c r="A201" t="s">
        <v>14</v>
      </c>
      <c r="D201" s="1" t="str">
        <f t="shared" si="12"/>
        <v>Los Angeles, CA</v>
      </c>
      <c r="F201" s="1" t="str">
        <f>"""BC Live Database"",""Gurrentz"",""50013"",""20"",""LOSA"",""1"",""MANO"",""10"",""151"",""40"",""BR"""</f>
        <v>"BC Live Database","Gurrentz","50013","20","LOSA","1","MANO","10","151","40","BR"</v>
      </c>
      <c r="G201" s="3">
        <v>44600</v>
      </c>
      <c r="H201" t="str">
        <f>"Maersk Northwood"</f>
        <v>Maersk Northwood</v>
      </c>
      <c r="I201" t="str">
        <f>"151"</f>
        <v>151</v>
      </c>
    </row>
    <row r="202" spans="1:9" x14ac:dyDescent="0.3">
      <c r="A202" t="s">
        <v>14</v>
      </c>
      <c r="D202" s="1" t="str">
        <f t="shared" si="12"/>
        <v>Los Angeles, CA</v>
      </c>
      <c r="F202" s="1" t="str">
        <f>"""BC Live Database"",""Gurrentz"",""50013"",""20"",""LOSA"",""1"",""MANO"",""10"",""151"",""40"",""NI"""</f>
        <v>"BC Live Database","Gurrentz","50013","20","LOSA","1","MANO","10","151","40","NI"</v>
      </c>
      <c r="G202" s="3">
        <v>44600</v>
      </c>
      <c r="H202" t="str">
        <f>"Maersk Northwood"</f>
        <v>Maersk Northwood</v>
      </c>
      <c r="I202" t="str">
        <f>"151"</f>
        <v>151</v>
      </c>
    </row>
    <row r="203" spans="1:9" x14ac:dyDescent="0.3">
      <c r="A203" t="s">
        <v>14</v>
      </c>
      <c r="D203" s="1" t="str">
        <f t="shared" si="12"/>
        <v>Los Angeles, CA</v>
      </c>
      <c r="F203" s="1" t="str">
        <f>"""BC Live Database"",""Gurrentz"",""50013"",""20"",""LOSA"",""1"",""PARA"",""10"",""151"",""40"",""BR"""</f>
        <v>"BC Live Database","Gurrentz","50013","20","LOSA","1","PARA","10","151","40","BR"</v>
      </c>
      <c r="G203" s="3">
        <v>44600</v>
      </c>
      <c r="H203" t="str">
        <f>"CMA CGM Paranagua"</f>
        <v>CMA CGM Paranagua</v>
      </c>
      <c r="I203" t="str">
        <f>"151"</f>
        <v>151</v>
      </c>
    </row>
    <row r="204" spans="1:9" x14ac:dyDescent="0.3">
      <c r="A204" t="s">
        <v>14</v>
      </c>
      <c r="D204" s="1" t="str">
        <f t="shared" si="12"/>
        <v>Los Angeles, CA</v>
      </c>
      <c r="F204" s="1" t="str">
        <f>"""BC Live Database"",""Gurrentz"",""50013"",""20"",""LOSA"",""1"",""ATOUT"",""10"",""142"",""40"",""AU"""</f>
        <v>"BC Live Database","Gurrentz","50013","20","LOSA","1","ATOUT","10","142","40","AU"</v>
      </c>
      <c r="G204" s="3">
        <v>44601</v>
      </c>
      <c r="H204" t="str">
        <f>"Atout"</f>
        <v>Atout</v>
      </c>
      <c r="I204" t="str">
        <f>"142"</f>
        <v>142</v>
      </c>
    </row>
    <row r="205" spans="1:9" x14ac:dyDescent="0.3">
      <c r="A205" t="s">
        <v>14</v>
      </c>
      <c r="D205" s="1" t="str">
        <f t="shared" si="12"/>
        <v>Los Angeles, CA</v>
      </c>
      <c r="F205" s="1" t="str">
        <f>"""BC Live Database"",""Gurrentz"",""50013"",""20"",""LOSA"",""1"",""MHHA"",""10"",""150"",""40"",""AR"""</f>
        <v>"BC Live Database","Gurrentz","50013","20","LOSA","1","MHHA","10","150","40","AR"</v>
      </c>
      <c r="G205" s="3">
        <v>44602</v>
      </c>
      <c r="H205" t="str">
        <f>"MH Hamburg"</f>
        <v>MH Hamburg</v>
      </c>
      <c r="I205" t="str">
        <f>"150"</f>
        <v>150</v>
      </c>
    </row>
    <row r="206" spans="1:9" x14ac:dyDescent="0.3">
      <c r="A206" t="s">
        <v>14</v>
      </c>
      <c r="D206" s="1" t="str">
        <f t="shared" si="12"/>
        <v>Los Angeles, CA</v>
      </c>
      <c r="F206" s="1" t="str">
        <f>"""BC Live Database"",""Gurrentz"",""50013"",""20"",""LOSA"",""1"",""MHHA"",""10"",""150"",""40"",""BR"""</f>
        <v>"BC Live Database","Gurrentz","50013","20","LOSA","1","MHHA","10","150","40","BR"</v>
      </c>
      <c r="G206" s="3">
        <v>44602</v>
      </c>
      <c r="H206" t="str">
        <f>"MH Hamburg"</f>
        <v>MH Hamburg</v>
      </c>
      <c r="I206" t="str">
        <f>"150"</f>
        <v>150</v>
      </c>
    </row>
    <row r="207" spans="1:9" x14ac:dyDescent="0.3">
      <c r="A207" t="s">
        <v>14</v>
      </c>
      <c r="D207" s="1" t="str">
        <f t="shared" si="12"/>
        <v>Los Angeles, CA</v>
      </c>
      <c r="F207" s="1" t="str">
        <f>"""BC Live Database"",""Gurrentz"",""50013"",""20"",""LOSA"",""1"",""ACON"",""10"",""151"",""40"",""BR"""</f>
        <v>"BC Live Database","Gurrentz","50013","20","LOSA","1","ACON","10","151","40","BR"</v>
      </c>
      <c r="G207" s="3">
        <v>44603</v>
      </c>
      <c r="H207" t="str">
        <f>"Monte Aconcagua"</f>
        <v>Monte Aconcagua</v>
      </c>
      <c r="I207" t="str">
        <f>"151"</f>
        <v>151</v>
      </c>
    </row>
    <row r="208" spans="1:9" x14ac:dyDescent="0.3">
      <c r="A208" t="s">
        <v>14</v>
      </c>
      <c r="D208" s="1" t="str">
        <f t="shared" si="12"/>
        <v>Los Angeles, CA</v>
      </c>
      <c r="F208" s="1" t="str">
        <f>"""BC Live Database"",""Gurrentz"",""50013"",""20"",""LOSA"",""1"",""MSYA"",""10"",""148"",""40"",""BR"""</f>
        <v>"BC Live Database","Gurrentz","50013","20","LOSA","1","MSYA","10","148","40","BR"</v>
      </c>
      <c r="G208" s="3">
        <v>44605</v>
      </c>
      <c r="H208" t="str">
        <f>"MSC Yashi B"</f>
        <v>MSC Yashi B</v>
      </c>
      <c r="I208" t="str">
        <f>"148"</f>
        <v>148</v>
      </c>
    </row>
    <row r="209" spans="1:9" x14ac:dyDescent="0.3">
      <c r="A209" t="s">
        <v>14</v>
      </c>
      <c r="D209" s="1" t="str">
        <f t="shared" si="12"/>
        <v>Los Angeles, CA</v>
      </c>
      <c r="F209" s="1" t="str">
        <f>"""BC Live Database"",""Gurrentz"",""50013"",""20"",""LOSA"",""1"","""",""10"",""158"",""40"",""NI"""</f>
        <v>"BC Live Database","Gurrentz","50013","20","LOSA","1","","10","158","40","NI"</v>
      </c>
      <c r="G209" s="3">
        <v>44607</v>
      </c>
      <c r="H209" t="str">
        <f>""</f>
        <v/>
      </c>
      <c r="I209" t="str">
        <f>"158"</f>
        <v>158</v>
      </c>
    </row>
    <row r="210" spans="1:9" x14ac:dyDescent="0.3">
      <c r="A210" t="s">
        <v>14</v>
      </c>
      <c r="D210" s="1" t="str">
        <f t="shared" si="12"/>
        <v>Los Angeles, CA</v>
      </c>
      <c r="F210" s="1" t="str">
        <f>"""BC Live Database"",""Gurrentz"",""50013"",""20"",""LOSA"",""1"",""PHOE"",""10"",""151"",""40"",""BR"""</f>
        <v>"BC Live Database","Gurrentz","50013","20","LOSA","1","PHOE","10","151","40","BR"</v>
      </c>
      <c r="G210" s="3">
        <v>44607</v>
      </c>
      <c r="H210" t="str">
        <f>"MSC Phoenix"</f>
        <v>MSC Phoenix</v>
      </c>
      <c r="I210" t="str">
        <f>"151"</f>
        <v>151</v>
      </c>
    </row>
    <row r="211" spans="1:9" x14ac:dyDescent="0.3">
      <c r="A211" t="s">
        <v>14</v>
      </c>
      <c r="D211" s="1" t="str">
        <f t="shared" si="12"/>
        <v>Los Angeles, CA</v>
      </c>
      <c r="F211" s="1" t="str">
        <f>"""BC Live Database"",""Gurrentz"",""50013"",""20"",""LOSA"",""1"",""VEGA"",""10"",""149"",""40"",""AU"""</f>
        <v>"BC Live Database","Gurrentz","50013","20","LOSA","1","VEGA","10","149","40","AU"</v>
      </c>
      <c r="G211" s="3">
        <v>44607</v>
      </c>
      <c r="H211" t="str">
        <f>"MSC Vega"</f>
        <v>MSC Vega</v>
      </c>
      <c r="I211" t="str">
        <f>"149"</f>
        <v>149</v>
      </c>
    </row>
    <row r="212" spans="1:9" x14ac:dyDescent="0.3">
      <c r="A212" t="s">
        <v>14</v>
      </c>
      <c r="D212" s="1" t="str">
        <f t="shared" si="12"/>
        <v>Los Angeles, CA</v>
      </c>
      <c r="F212" s="1" t="str">
        <f>"""BC Live Database"",""Gurrentz"",""50013"",""20"",""LOSA"",""1"",""CMLE"",""10"",""001"",""40"",""AU"""</f>
        <v>"BC Live Database","Gurrentz","50013","20","LOSA","1","CMLE","10","001","40","AU"</v>
      </c>
      <c r="G212" s="3">
        <v>44609</v>
      </c>
      <c r="H212" t="str">
        <f>"CMA CGM LEO"</f>
        <v>CMA CGM LEO</v>
      </c>
      <c r="I212" t="str">
        <f>"001"</f>
        <v>001</v>
      </c>
    </row>
    <row r="213" spans="1:9" x14ac:dyDescent="0.3">
      <c r="A213" t="s">
        <v>14</v>
      </c>
      <c r="D213" s="1" t="str">
        <f t="shared" si="12"/>
        <v>Los Angeles, CA</v>
      </c>
      <c r="F213" s="1" t="str">
        <f>"""BC Live Database"",""Gurrentz"",""50013"",""20"",""LOSA"",""1"",""SEMA"",""10"",""001"",""40"",""NI"""</f>
        <v>"BC Live Database","Gurrentz","50013","20","LOSA","1","SEMA","10","001","40","NI"</v>
      </c>
      <c r="G213" s="3">
        <v>44609</v>
      </c>
      <c r="H213" t="str">
        <f>"Sealand Manzanillo"</f>
        <v>Sealand Manzanillo</v>
      </c>
      <c r="I213" t="str">
        <f>"001"</f>
        <v>001</v>
      </c>
    </row>
    <row r="214" spans="1:9" x14ac:dyDescent="0.3">
      <c r="A214" t="s">
        <v>14</v>
      </c>
      <c r="D214" s="1" t="str">
        <f t="shared" si="12"/>
        <v>Los Angeles, CA</v>
      </c>
      <c r="F214" s="1" t="str">
        <f>"""BC Live Database"",""Gurrentz"",""50013"",""20"",""LOSA"",""1"",""DEBU"",""10"",""138"",""40"",""AU"""</f>
        <v>"BC Live Database","Gurrentz","50013","20","LOSA","1","DEBU","10","138","40","AU"</v>
      </c>
      <c r="G214" s="3">
        <v>44611</v>
      </c>
      <c r="H214" t="str">
        <f>"Debussy"</f>
        <v>Debussy</v>
      </c>
      <c r="I214" t="str">
        <f>"138"</f>
        <v>138</v>
      </c>
    </row>
    <row r="215" spans="1:9" x14ac:dyDescent="0.3">
      <c r="A215" t="s">
        <v>14</v>
      </c>
      <c r="D215" s="1" t="str">
        <f t="shared" si="12"/>
        <v>Los Angeles, CA</v>
      </c>
      <c r="F215" s="1" t="str">
        <f>"""BC Live Database"",""Gurrentz"",""50013"",""20"",""LOSA"",""1"",""DEBU"",""10"",""138"",""40"",""NZ"""</f>
        <v>"BC Live Database","Gurrentz","50013","20","LOSA","1","DEBU","10","138","40","NZ"</v>
      </c>
      <c r="G215" s="3">
        <v>44611</v>
      </c>
      <c r="H215" t="str">
        <f>"Debussy"</f>
        <v>Debussy</v>
      </c>
      <c r="I215" t="str">
        <f>"138"</f>
        <v>138</v>
      </c>
    </row>
    <row r="216" spans="1:9" x14ac:dyDescent="0.3">
      <c r="A216" t="s">
        <v>14</v>
      </c>
      <c r="D216" s="1" t="str">
        <f t="shared" si="12"/>
        <v>Los Angeles, CA</v>
      </c>
      <c r="F216" s="1" t="str">
        <f>"""BC Live Database"",""Gurrentz"",""50013"",""20"",""LOSA"",""1"",""MNOA"",""10"",""152"",""40"",""BR"""</f>
        <v>"BC Live Database","Gurrentz","50013","20","LOSA","1","MNOA","10","152","40","BR"</v>
      </c>
      <c r="G216" s="3">
        <v>44613</v>
      </c>
      <c r="H216" t="str">
        <f>"MSC Noa"</f>
        <v>MSC Noa</v>
      </c>
      <c r="I216" t="str">
        <f>"152"</f>
        <v>152</v>
      </c>
    </row>
    <row r="217" spans="1:9" x14ac:dyDescent="0.3">
      <c r="A217" t="s">
        <v>14</v>
      </c>
      <c r="D217" s="1" t="str">
        <f t="shared" si="12"/>
        <v>Los Angeles, CA</v>
      </c>
      <c r="F217" s="1" t="str">
        <f>"""BC Live Database"",""Gurrentz"",""50013"",""20"",""LOSA"",""1"",""JOAN"",""10"",""158"",""40"",""NI"""</f>
        <v>"BC Live Database","Gurrentz","50013","20","LOSA","1","JOAN","10","158","40","NI"</v>
      </c>
      <c r="G217" s="3">
        <v>44614</v>
      </c>
      <c r="H217" t="str">
        <f>"NYK Joanna "</f>
        <v xml:space="preserve">NYK Joanna </v>
      </c>
      <c r="I217" t="str">
        <f>"158"</f>
        <v>158</v>
      </c>
    </row>
    <row r="218" spans="1:9" x14ac:dyDescent="0.3">
      <c r="A218" t="s">
        <v>14</v>
      </c>
      <c r="D218" s="1" t="str">
        <f t="shared" si="12"/>
        <v>Los Angeles, CA</v>
      </c>
      <c r="F218" s="1" t="str">
        <f>"""BC Live Database"",""Gurrentz"",""50013"",""20"",""LOSA"",""1"",""CASO"",""10"",""149"",""40"",""BR"""</f>
        <v>"BC Live Database","Gurrentz","50013","20","LOSA","1","CASO","10","149","40","BR"</v>
      </c>
      <c r="G218" s="3">
        <v>44616</v>
      </c>
      <c r="H218" t="str">
        <f>"Cape Sounio"</f>
        <v>Cape Sounio</v>
      </c>
      <c r="I218" t="str">
        <f>"149"</f>
        <v>149</v>
      </c>
    </row>
    <row r="219" spans="1:9" x14ac:dyDescent="0.3">
      <c r="A219" t="s">
        <v>14</v>
      </c>
      <c r="D219" s="1" t="str">
        <f t="shared" si="12"/>
        <v>Los Angeles, CA</v>
      </c>
      <c r="F219" s="1" t="str">
        <f>"""BC Live Database"",""Gurrentz"",""50013"",""20"",""LOSA"",""1"",""MANO"",""10"",""071"",""40"",""NI"""</f>
        <v>"BC Live Database","Gurrentz","50013","20","LOSA","1","MANO","10","071","40","NI"</v>
      </c>
      <c r="G219" s="3">
        <v>44616</v>
      </c>
      <c r="H219" t="str">
        <f>"Maersk Northwood"</f>
        <v>Maersk Northwood</v>
      </c>
      <c r="I219" t="str">
        <f>"071"</f>
        <v>071</v>
      </c>
    </row>
    <row r="220" spans="1:9" x14ac:dyDescent="0.3">
      <c r="A220" t="s">
        <v>14</v>
      </c>
      <c r="D220" s="1" t="str">
        <f t="shared" si="12"/>
        <v>Los Angeles, CA</v>
      </c>
      <c r="F220" s="1" t="str">
        <f>"""BC Live Database"",""Gurrentz"",""50013"",""20"",""LOSA"",""1"",""MANO"",""10"",""207"",""40"",""BR"""</f>
        <v>"BC Live Database","Gurrentz","50013","20","LOSA","1","MANO","10","207","40","BR"</v>
      </c>
      <c r="G220" s="3">
        <v>44619</v>
      </c>
      <c r="H220" t="str">
        <f>"Maersk Northwood"</f>
        <v>Maersk Northwood</v>
      </c>
      <c r="I220" t="str">
        <f>"207"</f>
        <v>207</v>
      </c>
    </row>
    <row r="221" spans="1:9" x14ac:dyDescent="0.3">
      <c r="A221" t="s">
        <v>14</v>
      </c>
      <c r="D221" s="1" t="str">
        <f t="shared" si="12"/>
        <v>Los Angeles, CA</v>
      </c>
      <c r="F221" s="1" t="str">
        <f>"""BC Live Database"",""Gurrentz"",""50013"",""20"",""LOSA"",""1"",""MANO"",""10"",""207"",""40"",""NI"""</f>
        <v>"BC Live Database","Gurrentz","50013","20","LOSA","1","MANO","10","207","40","NI"</v>
      </c>
      <c r="G221" s="3">
        <v>44619</v>
      </c>
      <c r="H221" t="str">
        <f>"Maersk Northwood"</f>
        <v>Maersk Northwood</v>
      </c>
      <c r="I221" t="str">
        <f>"207"</f>
        <v>207</v>
      </c>
    </row>
    <row r="222" spans="1:9" x14ac:dyDescent="0.3">
      <c r="A222" t="s">
        <v>14</v>
      </c>
      <c r="D222" s="1" t="str">
        <f t="shared" si="12"/>
        <v>Los Angeles, CA</v>
      </c>
      <c r="F222" s="1" t="str">
        <f>"""BC Live Database"",""Gurrentz"",""50013"",""20"",""LOSA"",""1"",""JPLI"",""10"",""136"",""40"",""AU"""</f>
        <v>"BC Live Database","Gurrentz","50013","20","LOSA","1","JPLI","10","136","40","AU"</v>
      </c>
      <c r="G222" s="3">
        <v>44622</v>
      </c>
      <c r="H222" t="str">
        <f>"JPO Libra"</f>
        <v>JPO Libra</v>
      </c>
      <c r="I222" t="str">
        <f>"136"</f>
        <v>136</v>
      </c>
    </row>
    <row r="223" spans="1:9" x14ac:dyDescent="0.3">
      <c r="A223" t="s">
        <v>14</v>
      </c>
      <c r="D223" s="1" t="str">
        <f t="shared" si="12"/>
        <v>Los Angeles, CA</v>
      </c>
      <c r="F223" s="1" t="str">
        <f>"""BC Live Database"",""Gurrentz"",""50013"",""20"",""LOSA"",""1"",""JPLI"",""10"",""136"",""40"",""NZ"""</f>
        <v>"BC Live Database","Gurrentz","50013","20","LOSA","1","JPLI","10","136","40","NZ"</v>
      </c>
      <c r="G223" s="3">
        <v>44622</v>
      </c>
      <c r="H223" t="str">
        <f>"JPO Libra"</f>
        <v>JPO Libra</v>
      </c>
      <c r="I223" t="str">
        <f>"136"</f>
        <v>136</v>
      </c>
    </row>
    <row r="224" spans="1:9" x14ac:dyDescent="0.3">
      <c r="A224" t="s">
        <v>14</v>
      </c>
      <c r="D224" s="1" t="str">
        <f t="shared" si="12"/>
        <v>Los Angeles, CA</v>
      </c>
      <c r="F224" s="1" t="str">
        <f>"""BC Live Database"",""Gurrentz"",""50013"",""20"",""LOSA"",""1"",""HELLA"",""10"",""150"",""40"",""BR"""</f>
        <v>"BC Live Database","Gurrentz","50013","20","LOSA","1","HELLA","10","150","40","BR"</v>
      </c>
      <c r="G224" s="3">
        <v>44624</v>
      </c>
      <c r="H224" t="str">
        <f>"Hella"</f>
        <v>Hella</v>
      </c>
      <c r="I224" t="str">
        <f>"150"</f>
        <v>150</v>
      </c>
    </row>
    <row r="225" spans="1:9" x14ac:dyDescent="0.3">
      <c r="A225" t="s">
        <v>14</v>
      </c>
      <c r="D225" s="1" t="str">
        <f t="shared" si="12"/>
        <v>Los Angeles, CA</v>
      </c>
      <c r="F225" s="1" t="str">
        <f>"""BC Live Database"",""Gurrentz"",""50013"",""20"",""LOSA"",""1"",""MATD"",""10"",""149"",""40"",""BR"""</f>
        <v>"BC Live Database","Gurrentz","50013","20","LOSA","1","MATD","10","149","40","BR"</v>
      </c>
      <c r="G225" s="3">
        <v>44624</v>
      </c>
      <c r="H225" t="str">
        <f>"MSC Matilde"</f>
        <v>MSC Matilde</v>
      </c>
      <c r="I225" t="str">
        <f>"149"</f>
        <v>149</v>
      </c>
    </row>
    <row r="226" spans="1:9" x14ac:dyDescent="0.3">
      <c r="A226" t="s">
        <v>14</v>
      </c>
      <c r="D226" s="1" t="str">
        <f t="shared" si="12"/>
        <v>Los Angeles, CA</v>
      </c>
      <c r="F226" s="1" t="str">
        <f>"""BC Live Database"",""Gurrentz"",""50013"",""20"",""LOSA"",""1"",""MNOA"",""10"",""201"",""40"",""BR"""</f>
        <v>"BC Live Database","Gurrentz","50013","20","LOSA","1","MNOA","10","201","40","BR"</v>
      </c>
      <c r="G226" s="3">
        <v>44624</v>
      </c>
      <c r="H226" t="str">
        <f>"MSC Noa"</f>
        <v>MSC Noa</v>
      </c>
      <c r="I226" t="str">
        <f>"201"</f>
        <v>201</v>
      </c>
    </row>
    <row r="227" spans="1:9" x14ac:dyDescent="0.3">
      <c r="A227" t="s">
        <v>14</v>
      </c>
      <c r="D227" s="1" t="str">
        <f t="shared" si="12"/>
        <v>Los Angeles, CA</v>
      </c>
      <c r="F227" s="1" t="str">
        <f>"""BC Live Database"",""Gurrentz"",""50013"",""20"",""LOSA"",""1"",""STWB"",""10"",""207"",""40"",""BR"""</f>
        <v>"BC Live Database","Gurrentz","50013","20","LOSA","1","STWB","10","207","40","BR"</v>
      </c>
      <c r="G227" s="3">
        <v>44626</v>
      </c>
      <c r="H227" t="str">
        <f>"Stellar Walvis Bay"</f>
        <v>Stellar Walvis Bay</v>
      </c>
      <c r="I227" t="str">
        <f>"207"</f>
        <v>207</v>
      </c>
    </row>
    <row r="228" spans="1:9" x14ac:dyDescent="0.3">
      <c r="A228" t="s">
        <v>14</v>
      </c>
      <c r="D228" s="1" t="str">
        <f t="shared" si="12"/>
        <v>Los Angeles, CA</v>
      </c>
      <c r="F228" s="1" t="str">
        <f>"""BC Live Database"",""Gurrentz"",""50013"",""20"",""LOSA"",""1"",""MAAN"",""10"",""150"",""40"",""NZ"""</f>
        <v>"BC Live Database","Gurrentz","50013","20","LOSA","1","MAAN","10","150","40","NZ"</v>
      </c>
      <c r="G228" s="3">
        <v>44629</v>
      </c>
      <c r="H228" t="str">
        <f>"Maersk Antares"</f>
        <v>Maersk Antares</v>
      </c>
      <c r="I228" t="str">
        <f>"150"</f>
        <v>150</v>
      </c>
    </row>
    <row r="229" spans="1:9" x14ac:dyDescent="0.3">
      <c r="A229" t="s">
        <v>14</v>
      </c>
      <c r="D229" s="1" t="str">
        <f t="shared" si="12"/>
        <v>Los Angeles, CA</v>
      </c>
      <c r="F229" s="1" t="str">
        <f>"""BC Live Database"",""Gurrentz"",""50013"",""20"",""LOSA"",""1"",""LUTE"",""10"",""204"",""40"",""BR"""</f>
        <v>"BC Live Database","Gurrentz","50013","20","LOSA","1","LUTE","10","204","40","BR"</v>
      </c>
      <c r="G229" s="3">
        <v>44630</v>
      </c>
      <c r="H229" t="str">
        <f>"Lutetia"</f>
        <v>Lutetia</v>
      </c>
      <c r="I229" t="str">
        <f>"204"</f>
        <v>204</v>
      </c>
    </row>
    <row r="230" spans="1:9" x14ac:dyDescent="0.3">
      <c r="A230" t="s">
        <v>14</v>
      </c>
      <c r="D230" s="1" t="str">
        <f t="shared" si="12"/>
        <v>Los Angeles, CA</v>
      </c>
      <c r="F230" s="1" t="str">
        <f>"""BC Live Database"",""Gurrentz"",""50013"",""20"",""LOSA"",""1"",""MANO"",""10"",""209"",""40"",""BR"""</f>
        <v>"BC Live Database","Gurrentz","50013","20","LOSA","1","MANO","10","209","40","BR"</v>
      </c>
      <c r="G230" s="3">
        <v>44630</v>
      </c>
      <c r="H230" t="str">
        <f>"Maersk Northwood"</f>
        <v>Maersk Northwood</v>
      </c>
      <c r="I230" t="str">
        <f>"209"</f>
        <v>209</v>
      </c>
    </row>
    <row r="231" spans="1:9" x14ac:dyDescent="0.3">
      <c r="A231" t="s">
        <v>14</v>
      </c>
      <c r="D231" s="1" t="str">
        <f t="shared" si="12"/>
        <v>Los Angeles, CA</v>
      </c>
      <c r="F231" s="1" t="str">
        <f>"""BC Live Database"",""Gurrentz"",""50013"",""20"",""LOSA"",""1"",""CADI"",""10"",""203"",""40"",""BR"""</f>
        <v>"BC Live Database","Gurrentz","50013","20","LOSA","1","CADI","10","203","40","BR"</v>
      </c>
      <c r="G231" s="3">
        <v>44631</v>
      </c>
      <c r="H231" t="str">
        <f>"MSC Cadiz "</f>
        <v xml:space="preserve">MSC Cadiz </v>
      </c>
      <c r="I231" t="str">
        <f>"203"</f>
        <v>203</v>
      </c>
    </row>
    <row r="232" spans="1:9" x14ac:dyDescent="0.3">
      <c r="A232" t="s">
        <v>14</v>
      </c>
      <c r="D232" s="1" t="str">
        <f t="shared" si="12"/>
        <v>Los Angeles, CA</v>
      </c>
      <c r="F232" s="1" t="str">
        <f>"""BC Live Database"",""Gurrentz"",""50013"",""20"",""LOSA"",""1"",""CCAL"",""10"",""011"",""40"",""AU"""</f>
        <v>"BC Live Database","Gurrentz","50013","20","LOSA","1","CCAL","10","011","40","AU"</v>
      </c>
      <c r="G232" s="3">
        <v>44632</v>
      </c>
      <c r="H232" t="str">
        <f>"CMA CGM A Lincoln"</f>
        <v>CMA CGM A Lincoln</v>
      </c>
      <c r="I232" t="str">
        <f>"011"</f>
        <v>011</v>
      </c>
    </row>
    <row r="233" spans="1:9" x14ac:dyDescent="0.3">
      <c r="A233" t="s">
        <v>14</v>
      </c>
      <c r="D233" s="1" t="str">
        <f t="shared" si="12"/>
        <v>Los Angeles, CA</v>
      </c>
      <c r="F233" s="1" t="str">
        <f>"""BC Live Database"",""Gurrentz"",""50013"",""20"",""LOSA"",""1"",""MSSH"",""10"",""201"",""40"",""BR"""</f>
        <v>"BC Live Database","Gurrentz","50013","20","LOSA","1","MSSH","10","201","40","BR"</v>
      </c>
      <c r="G233" s="3">
        <v>44632</v>
      </c>
      <c r="H233" t="str">
        <f>"MSC Shuba "</f>
        <v xml:space="preserve">MSC Shuba </v>
      </c>
      <c r="I233" t="str">
        <f>"201"</f>
        <v>201</v>
      </c>
    </row>
    <row r="234" spans="1:9" x14ac:dyDescent="0.3">
      <c r="A234" t="s">
        <v>14</v>
      </c>
      <c r="D234" s="1" t="str">
        <f t="shared" si="12"/>
        <v>Los Angeles, CA</v>
      </c>
      <c r="F234" s="1" t="str">
        <f>"""BC Live Database"",""Gurrentz"",""50013"",""20"",""LOSA"",""1"",""BOPR"",""10"",""202"",""40"",""BR"""</f>
        <v>"BC Live Database","Gurrentz","50013","20","LOSA","1","BOPR","10","202","40","BR"</v>
      </c>
      <c r="G234" s="3">
        <v>44633</v>
      </c>
      <c r="H234" t="str">
        <f>"Bomar Praia"</f>
        <v>Bomar Praia</v>
      </c>
      <c r="I234" t="str">
        <f>"202"</f>
        <v>202</v>
      </c>
    </row>
    <row r="235" spans="1:9" x14ac:dyDescent="0.3">
      <c r="A235" t="s">
        <v>14</v>
      </c>
      <c r="D235" s="1" t="str">
        <f t="shared" si="12"/>
        <v>Los Angeles, CA</v>
      </c>
      <c r="F235" s="1" t="str">
        <f>"""BC Live Database"",""Gurrentz"",""50013"",""20"",""LOSA"",""1"",""LOEX"",""10"",""140"",""40"",""AU"""</f>
        <v>"BC Live Database","Gurrentz","50013","20","LOSA","1","LOEX","10","140","40","AU"</v>
      </c>
      <c r="G235" s="3">
        <v>44633</v>
      </c>
      <c r="H235" t="str">
        <f>"London Express"</f>
        <v>London Express</v>
      </c>
      <c r="I235" t="str">
        <f>"140"</f>
        <v>140</v>
      </c>
    </row>
    <row r="236" spans="1:9" x14ac:dyDescent="0.3">
      <c r="A236" t="s">
        <v>14</v>
      </c>
      <c r="D236" s="1" t="str">
        <f t="shared" si="12"/>
        <v>Los Angeles, CA</v>
      </c>
      <c r="F236" s="1" t="str">
        <f>"""BC Live Database"",""Gurrentz"",""50013"",""20"",""LOSA"",""1"",""LOEX"",""10"",""140"",""40"",""NZ"""</f>
        <v>"BC Live Database","Gurrentz","50013","20","LOSA","1","LOEX","10","140","40","NZ"</v>
      </c>
      <c r="G236" s="3">
        <v>44633</v>
      </c>
      <c r="H236" t="str">
        <f>"London Express"</f>
        <v>London Express</v>
      </c>
      <c r="I236" t="str">
        <f>"140"</f>
        <v>140</v>
      </c>
    </row>
    <row r="237" spans="1:9" x14ac:dyDescent="0.3">
      <c r="A237" t="s">
        <v>14</v>
      </c>
      <c r="D237" s="1" t="str">
        <f t="shared" si="12"/>
        <v>Los Angeles, CA</v>
      </c>
      <c r="F237" s="1" t="str">
        <f>"""BC Live Database"",""Gurrentz"",""50013"",""20"",""LOSA"",""1"","""",""10"",""614"",""40"",""NI"""</f>
        <v>"BC Live Database","Gurrentz","50013","20","LOSA","1","","10","614","40","NI"</v>
      </c>
      <c r="G237" s="3">
        <v>44635</v>
      </c>
      <c r="H237" t="str">
        <f>""</f>
        <v/>
      </c>
      <c r="I237" t="str">
        <f>"614"</f>
        <v>614</v>
      </c>
    </row>
    <row r="238" spans="1:9" x14ac:dyDescent="0.3">
      <c r="A238" t="s">
        <v>14</v>
      </c>
      <c r="D238" s="1" t="str">
        <f t="shared" si="12"/>
        <v>Los Angeles, CA</v>
      </c>
      <c r="F238" s="1" t="str">
        <f>"""BC Live Database"",""Gurrentz"",""50013"",""20"",""LOSA"",""1"",""MOPA"",""10"",""205"",""40"",""BR"""</f>
        <v>"BC Live Database","Gurrentz","50013","20","LOSA","1","MOPA","10","205","40","BR"</v>
      </c>
      <c r="G238" s="3">
        <v>44635</v>
      </c>
      <c r="H238" t="str">
        <f>"Monte Pascoal"</f>
        <v>Monte Pascoal</v>
      </c>
      <c r="I238" t="str">
        <f>"205"</f>
        <v>205</v>
      </c>
    </row>
    <row r="239" spans="1:9" x14ac:dyDescent="0.3">
      <c r="A239" t="s">
        <v>14</v>
      </c>
      <c r="D239" s="1" t="str">
        <f t="shared" si="12"/>
        <v>Los Angeles, CA</v>
      </c>
      <c r="F239" s="1" t="str">
        <f>"""BC Live Database"",""Gurrentz"",""50013"",""20"",""LOSA"",""1"",""NYLA"",""10"",""614"",""40"",""NI"""</f>
        <v>"BC Live Database","Gurrentz","50013","20","LOSA","1","NYLA","10","614","40","NI"</v>
      </c>
      <c r="G239" s="3">
        <v>44635</v>
      </c>
      <c r="H239" t="str">
        <f>"NYK Laura"</f>
        <v>NYK Laura</v>
      </c>
      <c r="I239" t="str">
        <f>"614"</f>
        <v>614</v>
      </c>
    </row>
    <row r="240" spans="1:9" x14ac:dyDescent="0.3">
      <c r="A240" t="s">
        <v>14</v>
      </c>
      <c r="D240" s="1" t="str">
        <f t="shared" si="12"/>
        <v>Los Angeles, CA</v>
      </c>
      <c r="F240" s="1" t="str">
        <f>"""BC Live Database"",""Gurrentz"",""50013"",""20"",""LOSA"",""1"",""SEEX"",""10"",""275"",""40"",""BR"""</f>
        <v>"BC Live Database","Gurrentz","50013","20","LOSA","1","SEEX","10","275","40","BR"</v>
      </c>
      <c r="G240" s="3">
        <v>44635</v>
      </c>
      <c r="H240" t="str">
        <f>"Seoul Express "</f>
        <v xml:space="preserve">Seoul Express </v>
      </c>
      <c r="I240" t="str">
        <f>"275"</f>
        <v>275</v>
      </c>
    </row>
    <row r="241" spans="1:9" x14ac:dyDescent="0.3">
      <c r="A241" t="s">
        <v>14</v>
      </c>
      <c r="D241" s="1" t="str">
        <f t="shared" si="12"/>
        <v>Los Angeles, CA</v>
      </c>
      <c r="F241" s="1" t="str">
        <f>"""BC Live Database"",""Gurrentz"",""50013"",""20"",""LOSA"",""1"",""XIXM"",""10"",""095"",""40"",""AU"""</f>
        <v>"BC Live Database","Gurrentz","50013","20","LOSA","1","XIXM","10","095","40","AU"</v>
      </c>
      <c r="G241" s="3">
        <v>44635</v>
      </c>
      <c r="H241" t="str">
        <f>"Xin Xia Men"</f>
        <v>Xin Xia Men</v>
      </c>
      <c r="I241" t="str">
        <f>"095"</f>
        <v>095</v>
      </c>
    </row>
    <row r="242" spans="1:9" x14ac:dyDescent="0.3">
      <c r="A242" t="s">
        <v>14</v>
      </c>
      <c r="D242" s="1" t="str">
        <f t="shared" si="12"/>
        <v>Los Angeles, CA</v>
      </c>
      <c r="F242" s="1" t="str">
        <f>"""BC Live Database"",""Gurrentz"",""50013"",""20"",""LOSA"",""1"",""MJEO"",""10"",""204"",""40"",""BR"""</f>
        <v>"BC Live Database","Gurrentz","50013","20","LOSA","1","MJEO","10","204","40","BR"</v>
      </c>
      <c r="G242" s="3">
        <v>44636</v>
      </c>
      <c r="H242" t="str">
        <f>"MSC Jeongmin"</f>
        <v>MSC Jeongmin</v>
      </c>
      <c r="I242" t="str">
        <f>"204"</f>
        <v>204</v>
      </c>
    </row>
    <row r="243" spans="1:9" x14ac:dyDescent="0.3">
      <c r="A243" t="s">
        <v>14</v>
      </c>
      <c r="D243" s="1" t="str">
        <f t="shared" si="12"/>
        <v>Los Angeles, CA</v>
      </c>
      <c r="F243" s="1" t="str">
        <f>"""BC Live Database"",""Gurrentz"",""50013"",""20"",""LOSA"",""1"",""CCORE"",""10"",""001"",""40"",""AU"""</f>
        <v>"BC Live Database","Gurrentz","50013","20","LOSA","1","CCORE","10","001","40","AU"</v>
      </c>
      <c r="G243" s="3">
        <v>44639</v>
      </c>
      <c r="H243" t="str">
        <f>"CMA CGM Corte Real"</f>
        <v>CMA CGM Corte Real</v>
      </c>
      <c r="I243" t="str">
        <f>"001"</f>
        <v>001</v>
      </c>
    </row>
    <row r="244" spans="1:9" x14ac:dyDescent="0.3">
      <c r="A244" t="s">
        <v>14</v>
      </c>
      <c r="D244" s="1" t="str">
        <f t="shared" si="12"/>
        <v>Los Angeles, CA</v>
      </c>
      <c r="F244" s="1" t="str">
        <f>"""BC Live Database"",""Gurrentz"",""50013"",""20"",""LOSA"",""1"",""MHHA"",""10"",""206"",""40"",""BR"""</f>
        <v>"BC Live Database","Gurrentz","50013","20","LOSA","1","MHHA","10","206","40","BR"</v>
      </c>
      <c r="G244" s="3">
        <v>44639</v>
      </c>
      <c r="H244" t="str">
        <f>"MH Hamburg"</f>
        <v>MH Hamburg</v>
      </c>
      <c r="I244" t="str">
        <f>"206"</f>
        <v>206</v>
      </c>
    </row>
    <row r="245" spans="1:9" x14ac:dyDescent="0.3">
      <c r="A245" t="s">
        <v>14</v>
      </c>
      <c r="D245" s="1" t="str">
        <f t="shared" si="12"/>
        <v>Los Angeles, CA</v>
      </c>
      <c r="F245" s="1" t="str">
        <f>"""BC Live Database"",""Gurrentz"",""50013"",""20"",""LOSA"",""1"",""MANO"",""10"",""011"",""40"",""BR"""</f>
        <v>"BC Live Database","Gurrentz","50013","20","LOSA","1","MANO","10","011","40","BR"</v>
      </c>
      <c r="G245" s="3">
        <v>44641</v>
      </c>
      <c r="H245" t="str">
        <f>"Maersk Northwood"</f>
        <v>Maersk Northwood</v>
      </c>
      <c r="I245" t="str">
        <f>"011"</f>
        <v>011</v>
      </c>
    </row>
    <row r="246" spans="1:9" x14ac:dyDescent="0.3">
      <c r="A246" t="s">
        <v>14</v>
      </c>
      <c r="D246" s="1" t="str">
        <f t="shared" si="12"/>
        <v>Los Angeles, CA</v>
      </c>
      <c r="F246" s="1" t="str">
        <f>"""BC Live Database"",""Gurrentz"",""50013"",""20"",""LOSA"",""1"",""MANO"",""10"",""011"",""40"",""NI"""</f>
        <v>"BC Live Database","Gurrentz","50013","20","LOSA","1","MANO","10","011","40","NI"</v>
      </c>
      <c r="G246" s="3">
        <v>44641</v>
      </c>
      <c r="H246" t="str">
        <f>"Maersk Northwood"</f>
        <v>Maersk Northwood</v>
      </c>
      <c r="I246" t="str">
        <f>"011"</f>
        <v>011</v>
      </c>
    </row>
    <row r="247" spans="1:9" x14ac:dyDescent="0.3">
      <c r="A247" t="s">
        <v>14</v>
      </c>
      <c r="D247" s="1" t="str">
        <f t="shared" si="12"/>
        <v>Los Angeles, CA</v>
      </c>
      <c r="F247" s="1" t="str">
        <f>"""BC Live Database"",""Gurrentz"",""50013"",""20"",""LOSA"",""1"",""CAJE"",""10"",""147"",""40"",""AU"""</f>
        <v>"BC Live Database","Gurrentz","50013","20","LOSA","1","CAJE","10","147","40","AU"</v>
      </c>
      <c r="G247" s="3">
        <v>44642</v>
      </c>
      <c r="H247" t="str">
        <f>"Cap Jervis"</f>
        <v>Cap Jervis</v>
      </c>
      <c r="I247" t="str">
        <f>"147"</f>
        <v>147</v>
      </c>
    </row>
    <row r="248" spans="1:9" x14ac:dyDescent="0.3">
      <c r="A248" t="s">
        <v>14</v>
      </c>
      <c r="D248" s="1" t="str">
        <f t="shared" si="12"/>
        <v>Los Angeles, CA</v>
      </c>
      <c r="F248" s="1" t="str">
        <f>"""BC Live Database"",""Gurrentz"",""50013"",""20"",""LOSA"",""1"",""SYKE"",""10"",""150"",""40"",""AU"""</f>
        <v>"BC Live Database","Gurrentz","50013","20","LOSA","1","SYKE","10","150","40","AU"</v>
      </c>
      <c r="G248" s="3">
        <v>44643</v>
      </c>
      <c r="H248" t="str">
        <f>"Synergy Keelung"</f>
        <v>Synergy Keelung</v>
      </c>
      <c r="I248" t="str">
        <f>"150"</f>
        <v>150</v>
      </c>
    </row>
    <row r="249" spans="1:9" x14ac:dyDescent="0.3">
      <c r="A249" t="s">
        <v>14</v>
      </c>
      <c r="D249" s="1" t="str">
        <f t="shared" si="12"/>
        <v>Los Angeles, CA</v>
      </c>
      <c r="F249" s="1" t="str">
        <f>"""BC Live Database"",""Gurrentz"",""50013"",""20"",""LOSA"",""1"",""SYKE"",""10"",""150"",""40"",""NZ"""</f>
        <v>"BC Live Database","Gurrentz","50013","20","LOSA","1","SYKE","10","150","40","NZ"</v>
      </c>
      <c r="G249" s="3">
        <v>44643</v>
      </c>
      <c r="H249" t="str">
        <f>"Synergy Keelung"</f>
        <v>Synergy Keelung</v>
      </c>
      <c r="I249" t="str">
        <f>"150"</f>
        <v>150</v>
      </c>
    </row>
    <row r="250" spans="1:9" x14ac:dyDescent="0.3">
      <c r="A250" t="s">
        <v>14</v>
      </c>
      <c r="D250" s="1" t="str">
        <f t="shared" si="12"/>
        <v>Los Angeles, CA</v>
      </c>
      <c r="F250" s="1" t="str">
        <f>"""BC Live Database"",""Gurrentz"",""50013"",""20"",""LOSA"",""1"",""LOEX"",""10"",""201"",""40"",""AU"""</f>
        <v>"BC Live Database","Gurrentz","50013","20","LOSA","1","LOEX","10","201","40","AU"</v>
      </c>
      <c r="G250" s="3">
        <v>44644</v>
      </c>
      <c r="H250" t="str">
        <f>"London Express"</f>
        <v>London Express</v>
      </c>
      <c r="I250" t="str">
        <f>"201"</f>
        <v>201</v>
      </c>
    </row>
    <row r="251" spans="1:9" x14ac:dyDescent="0.3">
      <c r="A251" t="s">
        <v>14</v>
      </c>
      <c r="D251" s="1" t="str">
        <f t="shared" si="12"/>
        <v>Los Angeles, CA</v>
      </c>
      <c r="F251" s="1" t="str">
        <f>"""BC Live Database"",""Gurrentz"",""50013"",""20"",""LOSA"",""1"",""LOEX"",""10"",""201"",""40"",""NG"""</f>
        <v>"BC Live Database","Gurrentz","50013","20","LOSA","1","LOEX","10","201","40","NG"</v>
      </c>
      <c r="G251" s="3">
        <v>44644</v>
      </c>
      <c r="H251" t="str">
        <f>"London Express"</f>
        <v>London Express</v>
      </c>
      <c r="I251" t="str">
        <f>"201"</f>
        <v>201</v>
      </c>
    </row>
    <row r="252" spans="1:9" x14ac:dyDescent="0.3">
      <c r="A252" t="s">
        <v>14</v>
      </c>
      <c r="D252" s="1" t="str">
        <f t="shared" si="12"/>
        <v>Los Angeles, CA</v>
      </c>
      <c r="F252" s="1" t="str">
        <f>"""BC Live Database"",""Gurrentz"",""50013"",""20"",""LOSA"",""1"",""MATE"",""10"",""146"",""40"",""AU"""</f>
        <v>"BC Live Database","Gurrentz","50013","20","LOSA","1","MATE","10","146","40","AU"</v>
      </c>
      <c r="G252" s="3">
        <v>44644</v>
      </c>
      <c r="H252" t="str">
        <f>"Mate"</f>
        <v>Mate</v>
      </c>
      <c r="I252" t="str">
        <f>"146"</f>
        <v>146</v>
      </c>
    </row>
    <row r="253" spans="1:9" x14ac:dyDescent="0.3">
      <c r="A253" t="s">
        <v>14</v>
      </c>
      <c r="D253" s="1" t="str">
        <f t="shared" si="12"/>
        <v>Los Angeles, CA</v>
      </c>
      <c r="F253" s="1" t="str">
        <f>"""BC Live Database"",""Gurrentz"",""50013"",""20"",""LOSA"",""1"",""MATE"",""10"",""146"",""40"",""NZ"""</f>
        <v>"BC Live Database","Gurrentz","50013","20","LOSA","1","MATE","10","146","40","NZ"</v>
      </c>
      <c r="G253" s="3">
        <v>44644</v>
      </c>
      <c r="H253" t="str">
        <f>"Mate"</f>
        <v>Mate</v>
      </c>
      <c r="I253" t="str">
        <f>"146"</f>
        <v>146</v>
      </c>
    </row>
    <row r="254" spans="1:9" x14ac:dyDescent="0.3">
      <c r="A254" t="s">
        <v>14</v>
      </c>
      <c r="D254" s="1" t="str">
        <f t="shared" si="12"/>
        <v>Los Angeles, CA</v>
      </c>
      <c r="F254" s="1" t="str">
        <f>"""BC Live Database"",""Gurrentz"",""50013"",""20"",""LOSA"",""1"",""ROST"",""10"",""151"",""40"",""BR"""</f>
        <v>"BC Live Database","Gurrentz","50013","20","LOSA","1","ROST","10","151","40","BR"</v>
      </c>
      <c r="G254" s="3">
        <v>44644</v>
      </c>
      <c r="H254" t="str">
        <f>"Rotterdam Star"</f>
        <v>Rotterdam Star</v>
      </c>
      <c r="I254" t="str">
        <f>"151"</f>
        <v>151</v>
      </c>
    </row>
    <row r="255" spans="1:9" x14ac:dyDescent="0.3">
      <c r="A255" t="s">
        <v>14</v>
      </c>
      <c r="D255" s="1" t="str">
        <f t="shared" si="12"/>
        <v>Los Angeles, CA</v>
      </c>
      <c r="F255" s="1" t="str">
        <f>"""BC Live Database"",""Gurrentz"",""50013"",""20"",""LOSA"",""1"",""MSVI"",""10"",""205"",""40"",""BR"""</f>
        <v>"BC Live Database","Gurrentz","50013","20","LOSA","1","MSVI","10","205","40","BR"</v>
      </c>
      <c r="G255" s="3">
        <v>44647</v>
      </c>
      <c r="H255" t="str">
        <f>"MSC Vigo"</f>
        <v>MSC Vigo</v>
      </c>
      <c r="I255" t="str">
        <f>"205"</f>
        <v>205</v>
      </c>
    </row>
    <row r="256" spans="1:9" x14ac:dyDescent="0.3">
      <c r="A256" t="s">
        <v>14</v>
      </c>
      <c r="D256" s="1" t="str">
        <f t="shared" si="12"/>
        <v>Los Angeles, CA</v>
      </c>
      <c r="F256" s="1" t="str">
        <f>"""BC Live Database"",""Gurrentz"",""50013"",""20"",""LOSA"",""1"",""DUTC"",""10"",""152"",""40"",""AU"""</f>
        <v>"BC Live Database","Gurrentz","50013","20","LOSA","1","DUTC","10","152","40","AU"</v>
      </c>
      <c r="G256" s="3">
        <v>44649</v>
      </c>
      <c r="H256" t="str">
        <f>"CMA CGM Dutch Harbor"</f>
        <v>CMA CGM Dutch Harbor</v>
      </c>
      <c r="I256" t="str">
        <f>"152"</f>
        <v>152</v>
      </c>
    </row>
    <row r="257" spans="1:9" x14ac:dyDescent="0.3">
      <c r="A257" t="s">
        <v>14</v>
      </c>
      <c r="D257" s="1" t="str">
        <f t="shared" si="12"/>
        <v>Los Angeles, CA</v>
      </c>
      <c r="F257" s="1" t="str">
        <f>"""BC Live Database"",""Gurrentz"",""50013"",""20"",""LOSA"",""1"",""DUTC"",""10"",""152"",""40"",""NZ"""</f>
        <v>"BC Live Database","Gurrentz","50013","20","LOSA","1","DUTC","10","152","40","NZ"</v>
      </c>
      <c r="G257" s="3">
        <v>44649</v>
      </c>
      <c r="H257" t="str">
        <f>"CMA CGM Dutch Harbor"</f>
        <v>CMA CGM Dutch Harbor</v>
      </c>
      <c r="I257" t="str">
        <f>"152"</f>
        <v>152</v>
      </c>
    </row>
    <row r="258" spans="1:9" x14ac:dyDescent="0.3">
      <c r="A258" t="s">
        <v>14</v>
      </c>
      <c r="D258" s="1" t="str">
        <f t="shared" si="12"/>
        <v>Los Angeles, CA</v>
      </c>
      <c r="F258" s="1" t="str">
        <f>"""BC Live Database"",""Gurrentz"",""50013"",""20"",""LOSA"",""1"",""ACON"",""10"",""207"",""40"",""BR"""</f>
        <v>"BC Live Database","Gurrentz","50013","20","LOSA","1","ACON","10","207","40","BR"</v>
      </c>
      <c r="G258" s="3">
        <v>44650</v>
      </c>
      <c r="H258" t="str">
        <f>"Monte Aconcagua"</f>
        <v>Monte Aconcagua</v>
      </c>
      <c r="I258" t="str">
        <f>"207"</f>
        <v>207</v>
      </c>
    </row>
    <row r="259" spans="1:9" x14ac:dyDescent="0.3">
      <c r="A259" t="s">
        <v>14</v>
      </c>
      <c r="D259" s="1" t="str">
        <f t="shared" si="12"/>
        <v>Los Angeles, CA</v>
      </c>
      <c r="F259" s="1" t="str">
        <f>"""BC Live Database"",""Gurrentz"",""50013"",""20"",""LOSA"",""1"",""MATE"",""10"",""203"",""40"",""AU"""</f>
        <v>"BC Live Database","Gurrentz","50013","20","LOSA","1","MATE","10","203","40","AU"</v>
      </c>
      <c r="G259" s="3">
        <v>44650</v>
      </c>
      <c r="H259" t="str">
        <f>"Mate"</f>
        <v>Mate</v>
      </c>
      <c r="I259" t="str">
        <f>"203"</f>
        <v>203</v>
      </c>
    </row>
    <row r="260" spans="1:9" x14ac:dyDescent="0.3">
      <c r="A260" t="s">
        <v>14</v>
      </c>
      <c r="D260" s="1" t="str">
        <f t="shared" si="12"/>
        <v>Los Angeles, CA</v>
      </c>
      <c r="F260" s="1" t="str">
        <f>"""BC Live Database"",""Gurrentz"",""50013"",""20"",""LOSA"",""1"",""MATE"",""10"",""203"",""40"",""NZ"""</f>
        <v>"BC Live Database","Gurrentz","50013","20","LOSA","1","MATE","10","203","40","NZ"</v>
      </c>
      <c r="G260" s="3">
        <v>44650</v>
      </c>
      <c r="H260" t="str">
        <f>"Mate"</f>
        <v>Mate</v>
      </c>
      <c r="I260" t="str">
        <f>"203"</f>
        <v>203</v>
      </c>
    </row>
    <row r="261" spans="1:9" x14ac:dyDescent="0.3">
      <c r="A261" t="s">
        <v>14</v>
      </c>
      <c r="D261" s="1" t="str">
        <f t="shared" si="12"/>
        <v>Los Angeles, CA</v>
      </c>
      <c r="F261" s="1" t="str">
        <f>"""BC Live Database"",""Gurrentz"",""50013"",""20"",""LOSA"",""1"",""CAJE"",""10"",""204"",""40"",""AU"""</f>
        <v>"BC Live Database","Gurrentz","50013","20","LOSA","1","CAJE","10","204","40","AU"</v>
      </c>
      <c r="G261" s="3">
        <v>44653</v>
      </c>
      <c r="H261" t="str">
        <f>"Cap Jervis"</f>
        <v>Cap Jervis</v>
      </c>
      <c r="I261" t="str">
        <f>"204"</f>
        <v>204</v>
      </c>
    </row>
    <row r="262" spans="1:9" x14ac:dyDescent="0.3">
      <c r="A262" t="s">
        <v>14</v>
      </c>
      <c r="D262" s="1" t="str">
        <f t="shared" ref="D262:D272" si="13">D261</f>
        <v>Los Angeles, CA</v>
      </c>
      <c r="F262" s="1" t="str">
        <f>"""BC Live Database"",""Gurrentz"",""50013"",""20"",""LOSA"",""1"",""CAJE"",""10"",""204"",""40"",""NZ"""</f>
        <v>"BC Live Database","Gurrentz","50013","20","LOSA","1","CAJE","10","204","40","NZ"</v>
      </c>
      <c r="G262" s="3">
        <v>44653</v>
      </c>
      <c r="H262" t="str">
        <f>"Cap Jervis"</f>
        <v>Cap Jervis</v>
      </c>
      <c r="I262" t="str">
        <f>"204"</f>
        <v>204</v>
      </c>
    </row>
    <row r="263" spans="1:9" x14ac:dyDescent="0.3">
      <c r="A263" t="s">
        <v>14</v>
      </c>
      <c r="D263" s="1" t="str">
        <f t="shared" si="13"/>
        <v>Los Angeles, CA</v>
      </c>
      <c r="F263" s="1" t="str">
        <f>"""BC Live Database"",""Gurrentz"",""50013"",""20"",""LOSA"",""1"",""CAJE"",""10"",""147"",""40"",""NZ"""</f>
        <v>"BC Live Database","Gurrentz","50013","20","LOSA","1","CAJE","10","147","40","NZ"</v>
      </c>
      <c r="G263" s="3">
        <v>44655</v>
      </c>
      <c r="H263" t="str">
        <f>"Cap Jervis"</f>
        <v>Cap Jervis</v>
      </c>
      <c r="I263" t="str">
        <f>"147"</f>
        <v>147</v>
      </c>
    </row>
    <row r="264" spans="1:9" x14ac:dyDescent="0.3">
      <c r="A264" t="s">
        <v>14</v>
      </c>
      <c r="D264" s="1" t="str">
        <f t="shared" si="13"/>
        <v>Los Angeles, CA</v>
      </c>
      <c r="F264" s="1" t="str">
        <f>"""BC Live Database"",""Gurrentz"",""50013"",""20"",""LOSA"",""1"",""SYAN"",""10"",""088"",""40"",""BR"""</f>
        <v>"BC Live Database","Gurrentz","50013","20","LOSA","1","SYAN","10","088","40","BR"</v>
      </c>
      <c r="G264" s="3">
        <v>44658</v>
      </c>
      <c r="H264" t="str">
        <f>"Synergy Antwerp"</f>
        <v>Synergy Antwerp</v>
      </c>
      <c r="I264" t="str">
        <f>"088"</f>
        <v>088</v>
      </c>
    </row>
    <row r="265" spans="1:9" x14ac:dyDescent="0.3">
      <c r="A265" t="s">
        <v>14</v>
      </c>
      <c r="D265" s="1" t="str">
        <f t="shared" si="13"/>
        <v>Los Angeles, CA</v>
      </c>
      <c r="F265" s="1" t="str">
        <f>"""BC Live Database"",""Gurrentz"",""50013"",""20"",""LOSA"",""1"",""TIRUA"",""10"",""2201"",""40"",""BR"""</f>
        <v>"BC Live Database","Gurrentz","50013","20","LOSA","1","TIRUA","10","2201","40","BR"</v>
      </c>
      <c r="G265" s="3">
        <v>44658</v>
      </c>
      <c r="H265" t="str">
        <f>"Tirua"</f>
        <v>Tirua</v>
      </c>
      <c r="I265" t="str">
        <f>"2201"</f>
        <v>2201</v>
      </c>
    </row>
    <row r="266" spans="1:9" x14ac:dyDescent="0.3">
      <c r="A266" t="s">
        <v>14</v>
      </c>
      <c r="D266" s="1" t="str">
        <f t="shared" si="13"/>
        <v>Los Angeles, CA</v>
      </c>
      <c r="F266" s="1" t="str">
        <f>"""BC Live Database"",""Gurrentz"",""50013"",""20"",""LOSA"",""1"",""TUCA"",""10"",""2202"",""40"",""BR"""</f>
        <v>"BC Live Database","Gurrentz","50013","20","LOSA","1","TUCA","10","2202","40","BR"</v>
      </c>
      <c r="G266" s="3">
        <v>44658</v>
      </c>
      <c r="H266" t="str">
        <f>"Tucapel"</f>
        <v>Tucapel</v>
      </c>
      <c r="I266" t="str">
        <f>"2202"</f>
        <v>2202</v>
      </c>
    </row>
    <row r="267" spans="1:9" x14ac:dyDescent="0.3">
      <c r="A267" t="s">
        <v>14</v>
      </c>
      <c r="D267" s="1" t="str">
        <f t="shared" si="13"/>
        <v>Los Angeles, CA</v>
      </c>
      <c r="F267" s="1" t="str">
        <f>"""BC Live Database"",""Gurrentz"",""50013"",""20"",""LOSA"",""1"",""COCO"",""10"",""148"",""40"",""AU"""</f>
        <v>"BC Live Database","Gurrentz","50013","20","LOSA","1","COCO","10","148","40","AU"</v>
      </c>
      <c r="G267" s="3">
        <v>44661</v>
      </c>
      <c r="H267" t="str">
        <f>"Conti Cordoba"</f>
        <v>Conti Cordoba</v>
      </c>
      <c r="I267" t="str">
        <f>"148"</f>
        <v>148</v>
      </c>
    </row>
    <row r="268" spans="1:9" x14ac:dyDescent="0.3">
      <c r="A268" t="s">
        <v>14</v>
      </c>
      <c r="D268" s="1" t="str">
        <f t="shared" si="13"/>
        <v>Los Angeles, CA</v>
      </c>
      <c r="F268" s="1" t="str">
        <f>"""BC Live Database"",""Gurrentz"",""50013"",""20"",""LOSA"",""1"",""COCO"",""10"",""148"",""40"",""NZ"""</f>
        <v>"BC Live Database","Gurrentz","50013","20","LOSA","1","COCO","10","148","40","NZ"</v>
      </c>
      <c r="G268" s="3">
        <v>44661</v>
      </c>
      <c r="H268" t="str">
        <f>"Conti Cordoba"</f>
        <v>Conti Cordoba</v>
      </c>
      <c r="I268" t="str">
        <f>"148"</f>
        <v>148</v>
      </c>
    </row>
    <row r="269" spans="1:9" x14ac:dyDescent="0.3">
      <c r="A269" t="s">
        <v>14</v>
      </c>
      <c r="D269" s="1" t="str">
        <f t="shared" si="13"/>
        <v>Los Angeles, CA</v>
      </c>
      <c r="F269" s="1" t="str">
        <f>"""BC Live Database"",""Gurrentz"",""50013"",""20"",""LOSA"",""1"",""MAIN"",""10"",""205"",""40"",""NZ"""</f>
        <v>"BC Live Database","Gurrentz","50013","20","LOSA","1","MAIN","10","205","40","NZ"</v>
      </c>
      <c r="G269" s="3">
        <v>44662</v>
      </c>
      <c r="H269" t="str">
        <f>"Maersk Inverness"</f>
        <v>Maersk Inverness</v>
      </c>
      <c r="I269" t="str">
        <f>"205"</f>
        <v>205</v>
      </c>
    </row>
    <row r="270" spans="1:9" x14ac:dyDescent="0.3">
      <c r="A270" t="s">
        <v>14</v>
      </c>
      <c r="D270" s="1" t="str">
        <f t="shared" si="13"/>
        <v>Los Angeles, CA</v>
      </c>
      <c r="F270" s="1" t="str">
        <f>"""BC Live Database"",""Gurrentz"",""50013"",""20"",""LOSA"",""1"",""TEMP"",""10"",""2203"",""40"",""BR"""</f>
        <v>"BC Live Database","Gurrentz","50013","20","LOSA","1","TEMP","10","2203","40","BR"</v>
      </c>
      <c r="G270" s="3">
        <v>44666</v>
      </c>
      <c r="H270" t="str">
        <f>"Tempanos"</f>
        <v>Tempanos</v>
      </c>
      <c r="I270" t="str">
        <f>"2203"</f>
        <v>2203</v>
      </c>
    </row>
    <row r="271" spans="1:9" x14ac:dyDescent="0.3">
      <c r="A271" t="s">
        <v>14</v>
      </c>
      <c r="D271" s="1" t="str">
        <f t="shared" si="13"/>
        <v>Los Angeles, CA</v>
      </c>
      <c r="F271" s="1" t="str">
        <f>"""BC Live Database"",""Gurrentz"",""50013"",""20"",""LOSA"",""1"",""ANWA"",""10"",""202"",""40"",""AU"""</f>
        <v>"BC Live Database","Gurrentz","50013","20","LOSA","1","ANWA","10","202","40","AU"</v>
      </c>
      <c r="G271" s="3">
        <v>44677</v>
      </c>
      <c r="H271" t="str">
        <f>"ANL Warrnambool"</f>
        <v>ANL Warrnambool</v>
      </c>
      <c r="I271" t="str">
        <f>"202"</f>
        <v>202</v>
      </c>
    </row>
    <row r="272" spans="1:9" x14ac:dyDescent="0.3">
      <c r="A272" t="s">
        <v>14</v>
      </c>
      <c r="D272" s="1" t="str">
        <f t="shared" si="13"/>
        <v>Los Angeles, CA</v>
      </c>
      <c r="F272" s="1" t="str">
        <f>"""BC Live Database"",""Gurrentz"",""50013"",""20"",""LOSA"",""1"",""ANWA"",""10"",""202"",""40"",""NZ"""</f>
        <v>"BC Live Database","Gurrentz","50013","20","LOSA","1","ANWA","10","202","40","NZ"</v>
      </c>
      <c r="G272" s="3">
        <v>44677</v>
      </c>
      <c r="H272" t="str">
        <f>"ANL Warrnambool"</f>
        <v>ANL Warrnambool</v>
      </c>
      <c r="I272" t="str">
        <f>"202"</f>
        <v>202</v>
      </c>
    </row>
    <row r="273" spans="1:9" x14ac:dyDescent="0.3">
      <c r="A273" t="s">
        <v>14</v>
      </c>
      <c r="D273" s="1" t="str">
        <f>D133</f>
        <v>Los Angeles, CA</v>
      </c>
    </row>
    <row r="274" spans="1:9" x14ac:dyDescent="0.3">
      <c r="A274" t="s">
        <v>14</v>
      </c>
      <c r="D274" s="1" t="str">
        <f t="shared" ref="D274" si="14">E274</f>
        <v>Miami, FL</v>
      </c>
      <c r="E274" t="str">
        <f>"Miami, FL"</f>
        <v>Miami, FL</v>
      </c>
      <c r="G274" t="s">
        <v>3</v>
      </c>
      <c r="H274" t="s">
        <v>4</v>
      </c>
      <c r="I274" t="s">
        <v>5</v>
      </c>
    </row>
    <row r="275" spans="1:9" x14ac:dyDescent="0.3">
      <c r="A275" t="s">
        <v>14</v>
      </c>
      <c r="D275" s="1" t="str">
        <f t="shared" ref="D275" si="15">D274</f>
        <v>Miami, FL</v>
      </c>
      <c r="F275" s="1" t="str">
        <f>"""BC Live Database"",""Gurrentz"",""50013"",""20"",""MIAM"",""1"",""SPHA"",""10"",""137"",""40"",""NZ"""</f>
        <v>"BC Live Database","Gurrentz","50013","20","MIAM","1","SPHA","10","137","40","NZ"</v>
      </c>
      <c r="G275" s="3">
        <v>44468</v>
      </c>
      <c r="H275" t="str">
        <f>"Spirit of Hamburg"</f>
        <v>Spirit of Hamburg</v>
      </c>
      <c r="I275" t="str">
        <f>"137"</f>
        <v>137</v>
      </c>
    </row>
    <row r="276" spans="1:9" x14ac:dyDescent="0.3">
      <c r="A276" t="s">
        <v>14</v>
      </c>
      <c r="D276" s="1" t="str">
        <f t="shared" ref="D276:D303" si="16">D275</f>
        <v>Miami, FL</v>
      </c>
      <c r="F276" s="1" t="str">
        <f>"""BC Live Database"",""Gurrentz"",""50013"",""20"",""MIAM"",""1"",""MAIN"",""10"",""135"",""40"",""AU"""</f>
        <v>"BC Live Database","Gurrentz","50013","20","MIAM","1","MAIN","10","135","40","AU"</v>
      </c>
      <c r="G276" s="3">
        <v>44489</v>
      </c>
      <c r="H276" t="str">
        <f>"Maersk Inverness"</f>
        <v>Maersk Inverness</v>
      </c>
      <c r="I276" t="str">
        <f>"135"</f>
        <v>135</v>
      </c>
    </row>
    <row r="277" spans="1:9" x14ac:dyDescent="0.3">
      <c r="A277" t="s">
        <v>14</v>
      </c>
      <c r="D277" s="1" t="str">
        <f t="shared" si="16"/>
        <v>Miami, FL</v>
      </c>
      <c r="F277" s="1" t="str">
        <f>"""BC Live Database"",""Gurrentz"",""50013"",""20"",""MIAM"",""1"",""MAIN"",""10"",""135"",""40"",""NZ"""</f>
        <v>"BC Live Database","Gurrentz","50013","20","MIAM","1","MAIN","10","135","40","NZ"</v>
      </c>
      <c r="G277" s="3">
        <v>44489</v>
      </c>
      <c r="H277" t="str">
        <f>"Maersk Inverness"</f>
        <v>Maersk Inverness</v>
      </c>
      <c r="I277" t="str">
        <f>"135"</f>
        <v>135</v>
      </c>
    </row>
    <row r="278" spans="1:9" x14ac:dyDescent="0.3">
      <c r="A278" t="s">
        <v>14</v>
      </c>
      <c r="D278" s="1" t="str">
        <f t="shared" si="16"/>
        <v>Miami, FL</v>
      </c>
      <c r="F278" s="1" t="str">
        <f>"""BC Live Database"",""Gurrentz"",""50013"",""20"",""MIAM"",""1"",""ASSA"",""10"",""55"",""40"",""NI"""</f>
        <v>"BC Live Database","Gurrentz","50013","20","MIAM","1","ASSA","10","55","40","NI"</v>
      </c>
      <c r="G278" s="3">
        <v>44490</v>
      </c>
      <c r="H278" t="str">
        <f>"AS Sabrina"</f>
        <v>AS Sabrina</v>
      </c>
      <c r="I278" t="str">
        <f>"55"</f>
        <v>55</v>
      </c>
    </row>
    <row r="279" spans="1:9" x14ac:dyDescent="0.3">
      <c r="A279" t="s">
        <v>14</v>
      </c>
      <c r="D279" s="1" t="str">
        <f t="shared" si="16"/>
        <v>Miami, FL</v>
      </c>
      <c r="F279" s="1" t="str">
        <f>"""BC Live Database"",""Gurrentz"",""50013"",""20"",""MIAM"",""1"",""RIMA"",""10"",""131"",""40"",""NZ"""</f>
        <v>"BC Live Database","Gurrentz","50013","20","MIAM","1","RIMA","10","131","40","NZ"</v>
      </c>
      <c r="G279" s="3">
        <v>44491</v>
      </c>
      <c r="H279" t="str">
        <f>"Rio Madeira"</f>
        <v>Rio Madeira</v>
      </c>
      <c r="I279" t="str">
        <f>"131"</f>
        <v>131</v>
      </c>
    </row>
    <row r="280" spans="1:9" x14ac:dyDescent="0.3">
      <c r="A280" t="s">
        <v>14</v>
      </c>
      <c r="D280" s="1" t="str">
        <f t="shared" si="16"/>
        <v>Miami, FL</v>
      </c>
      <c r="F280" s="1" t="str">
        <f>"""BC Live Database"",""Gurrentz"",""50013"",""20"",""MIAM"",""1"",""MASY"",""10"",""136"",""40"",""NZ"""</f>
        <v>"BC Live Database","Gurrentz","50013","20","MIAM","1","MASY","10","136","40","NZ"</v>
      </c>
      <c r="G280" s="3">
        <v>44492</v>
      </c>
      <c r="H280" t="str">
        <f>"Maersk Sydney"</f>
        <v>Maersk Sydney</v>
      </c>
      <c r="I280" t="str">
        <f>"136"</f>
        <v>136</v>
      </c>
    </row>
    <row r="281" spans="1:9" x14ac:dyDescent="0.3">
      <c r="A281" t="s">
        <v>14</v>
      </c>
      <c r="D281" s="1" t="str">
        <f t="shared" si="16"/>
        <v>Miami, FL</v>
      </c>
      <c r="F281" s="1" t="str">
        <f>"""BC Live Database"",""Gurrentz"",""50013"",""20"",""MIAM"",""1"",""DUEX"",""10"",""142"",""40"",""NZ"""</f>
        <v>"BC Live Database","Gurrentz","50013","20","MIAM","1","DUEX","10","142","40","NZ"</v>
      </c>
      <c r="G281" s="3">
        <v>44494</v>
      </c>
      <c r="H281" t="str">
        <f>"Dublin Express"</f>
        <v>Dublin Express</v>
      </c>
      <c r="I281" t="str">
        <f>"142"</f>
        <v>142</v>
      </c>
    </row>
    <row r="282" spans="1:9" x14ac:dyDescent="0.3">
      <c r="A282" t="s">
        <v>14</v>
      </c>
      <c r="D282" s="1" t="str">
        <f t="shared" si="16"/>
        <v>Miami, FL</v>
      </c>
      <c r="F282" s="1" t="str">
        <f>"""BC Live Database"",""Gurrentz"",""50013"",""20"",""MIAM"",""1"",""MAGA"",""10"",""141"",""40"",""NZ"""</f>
        <v>"BC Live Database","Gurrentz","50013","20","MIAM","1","MAGA","10","141","40","NZ"</v>
      </c>
      <c r="G282" s="3">
        <v>44496</v>
      </c>
      <c r="H282" t="str">
        <f>"Maersk Gateshead"</f>
        <v>Maersk Gateshead</v>
      </c>
      <c r="I282" t="str">
        <f>"141"</f>
        <v>141</v>
      </c>
    </row>
    <row r="283" spans="1:9" x14ac:dyDescent="0.3">
      <c r="A283" t="s">
        <v>14</v>
      </c>
      <c r="D283" s="1" t="str">
        <f t="shared" si="16"/>
        <v>Miami, FL</v>
      </c>
      <c r="F283" s="1" t="str">
        <f>"""BC Live Database"",""Gurrentz"",""50013"",""20"",""MIAM"",""1"",""ARMA"",""10"",""135"",""40"",""NZ"""</f>
        <v>"BC Live Database","Gurrentz","50013","20","MIAM","1","ARMA","10","135","40","NZ"</v>
      </c>
      <c r="G283" s="3">
        <v>44497</v>
      </c>
      <c r="H283" t="str">
        <f>"Arnold Maersk"</f>
        <v>Arnold Maersk</v>
      </c>
      <c r="I283" t="str">
        <f>"135"</f>
        <v>135</v>
      </c>
    </row>
    <row r="284" spans="1:9" x14ac:dyDescent="0.3">
      <c r="A284" t="s">
        <v>14</v>
      </c>
      <c r="D284" s="1" t="str">
        <f t="shared" si="16"/>
        <v>Miami, FL</v>
      </c>
      <c r="F284" s="1" t="str">
        <f>"""BC Live Database"",""Gurrentz"",""50013"",""20"",""MIAM"",""1"",""BFLE"",""10"",""022"",""40"",""NZ"""</f>
        <v>"BC Live Database","Gurrentz","50013","20","MIAM","1","BFLE","10","022","40","NZ"</v>
      </c>
      <c r="G284" s="3">
        <v>44498</v>
      </c>
      <c r="H284" t="str">
        <f>"BF Leticia "</f>
        <v xml:space="preserve">BF Leticia </v>
      </c>
      <c r="I284" t="str">
        <f>"022"</f>
        <v>022</v>
      </c>
    </row>
    <row r="285" spans="1:9" x14ac:dyDescent="0.3">
      <c r="A285" t="s">
        <v>14</v>
      </c>
      <c r="D285" s="1" t="str">
        <f t="shared" si="16"/>
        <v>Miami, FL</v>
      </c>
      <c r="F285" s="1" t="str">
        <f>"""BC Live Database"",""Gurrentz"",""50013"",""20"",""MIAM"",""1"",""SPHA"",""10"",""143"",""40"",""NZ"""</f>
        <v>"BC Live Database","Gurrentz","50013","20","MIAM","1","SPHA","10","143","40","NZ"</v>
      </c>
      <c r="G285" s="3">
        <v>44502</v>
      </c>
      <c r="H285" t="str">
        <f>"Spirit of Hamburg"</f>
        <v>Spirit of Hamburg</v>
      </c>
      <c r="I285" t="str">
        <f>"143"</f>
        <v>143</v>
      </c>
    </row>
    <row r="286" spans="1:9" x14ac:dyDescent="0.3">
      <c r="A286" t="s">
        <v>14</v>
      </c>
      <c r="D286" s="1" t="str">
        <f t="shared" si="16"/>
        <v>Miami, FL</v>
      </c>
      <c r="F286" s="1" t="str">
        <f>"""BC Live Database"",""Gurrentz"",""50013"",""20"",""MIAM"",""1"",""SABA"",""10"",""139"",""40"",""AU"""</f>
        <v>"BC Live Database","Gurrentz","50013","20","MIAM","1","SABA","10","139","40","AU"</v>
      </c>
      <c r="G286" s="3">
        <v>44503</v>
      </c>
      <c r="H286" t="str">
        <f>"Safemarine Bayette"</f>
        <v>Safemarine Bayette</v>
      </c>
      <c r="I286" t="str">
        <f>"139"</f>
        <v>139</v>
      </c>
    </row>
    <row r="287" spans="1:9" x14ac:dyDescent="0.3">
      <c r="A287" t="s">
        <v>14</v>
      </c>
      <c r="D287" s="1" t="str">
        <f t="shared" si="16"/>
        <v>Miami, FL</v>
      </c>
      <c r="F287" s="1" t="str">
        <f>"""BC Live Database"",""Gurrentz"",""50013"",""20"",""MIAM"",""1"",""SABA"",""10"",""139"",""40"",""NZ"""</f>
        <v>"BC Live Database","Gurrentz","50013","20","MIAM","1","SABA","10","139","40","NZ"</v>
      </c>
      <c r="G287" s="3">
        <v>44503</v>
      </c>
      <c r="H287" t="str">
        <f>"Safemarine Bayette"</f>
        <v>Safemarine Bayette</v>
      </c>
      <c r="I287" t="str">
        <f>"139"</f>
        <v>139</v>
      </c>
    </row>
    <row r="288" spans="1:9" x14ac:dyDescent="0.3">
      <c r="A288" t="s">
        <v>14</v>
      </c>
      <c r="D288" s="1" t="str">
        <f t="shared" si="16"/>
        <v>Miami, FL</v>
      </c>
      <c r="F288" s="1" t="str">
        <f>"""BC Live Database"",""Gurrentz"",""50013"",""20"",""MIAM"",""1"",""MAGA"",""10"",""144"",""40"",""NZ"""</f>
        <v>"BC Live Database","Gurrentz","50013","20","MIAM","1","MAGA","10","144","40","NZ"</v>
      </c>
      <c r="G288" s="3">
        <v>44508</v>
      </c>
      <c r="H288" t="str">
        <f>"Maersk Gateshead"</f>
        <v>Maersk Gateshead</v>
      </c>
      <c r="I288" t="str">
        <f>"144"</f>
        <v>144</v>
      </c>
    </row>
    <row r="289" spans="1:9" x14ac:dyDescent="0.3">
      <c r="A289" t="s">
        <v>14</v>
      </c>
      <c r="D289" s="1" t="str">
        <f t="shared" si="16"/>
        <v>Miami, FL</v>
      </c>
      <c r="F289" s="1" t="str">
        <f>"""BC Live Database"",""Gurrentz"",""50013"",""20"",""MIAM"",""1"",""SPSH"",""10"",""137"",""40"",""AU"""</f>
        <v>"BC Live Database","Gurrentz","50013","20","MIAM","1","SPSH","10","137","40","AU"</v>
      </c>
      <c r="G289" s="3">
        <v>44508</v>
      </c>
      <c r="H289" t="str">
        <f>"Spirit of Shanghai"</f>
        <v>Spirit of Shanghai</v>
      </c>
      <c r="I289" t="str">
        <f>"137"</f>
        <v>137</v>
      </c>
    </row>
    <row r="290" spans="1:9" x14ac:dyDescent="0.3">
      <c r="A290" t="s">
        <v>14</v>
      </c>
      <c r="D290" s="1" t="str">
        <f t="shared" si="16"/>
        <v>Miami, FL</v>
      </c>
      <c r="F290" s="1" t="str">
        <f>"""BC Live Database"",""Gurrentz"",""50013"",""20"",""MIAM"",""1"",""SPSH"",""10"",""137"",""40"",""NZ"""</f>
        <v>"BC Live Database","Gurrentz","50013","20","MIAM","1","SPSH","10","137","40","NZ"</v>
      </c>
      <c r="G290" s="3">
        <v>44508</v>
      </c>
      <c r="H290" t="str">
        <f>"Spirit of Shanghai"</f>
        <v>Spirit of Shanghai</v>
      </c>
      <c r="I290" t="str">
        <f>"137"</f>
        <v>137</v>
      </c>
    </row>
    <row r="291" spans="1:9" x14ac:dyDescent="0.3">
      <c r="A291" t="s">
        <v>14</v>
      </c>
      <c r="D291" s="1" t="str">
        <f t="shared" si="16"/>
        <v>Miami, FL</v>
      </c>
      <c r="F291" s="1" t="str">
        <f>"""BC Live Database"",""Gurrentz"",""50013"",""20"",""MIAM"",""1"",""RIBL"",""10"",""132"",""40"",""NZ"""</f>
        <v>"BC Live Database","Gurrentz","50013","20","MIAM","1","RIBL","10","132","40","NZ"</v>
      </c>
      <c r="G291" s="3">
        <v>44513</v>
      </c>
      <c r="H291" t="str">
        <f>"Rio Blanco"</f>
        <v>Rio Blanco</v>
      </c>
      <c r="I291" t="str">
        <f>"132"</f>
        <v>132</v>
      </c>
    </row>
    <row r="292" spans="1:9" x14ac:dyDescent="0.3">
      <c r="A292" t="s">
        <v>14</v>
      </c>
      <c r="D292" s="1" t="str">
        <f t="shared" si="16"/>
        <v>Miami, FL</v>
      </c>
      <c r="F292" s="1" t="str">
        <f>"""BC Live Database"",""Gurrentz"",""50013"",""20"",""MIAM"",""1"",""DUEX"",""10"",""145"",""40"",""NZ"""</f>
        <v>"BC Live Database","Gurrentz","50013","20","MIAM","1","DUEX","10","145","40","NZ"</v>
      </c>
      <c r="G292" s="3">
        <v>44515</v>
      </c>
      <c r="H292" t="str">
        <f>"Dublin Express"</f>
        <v>Dublin Express</v>
      </c>
      <c r="I292" t="str">
        <f>"145"</f>
        <v>145</v>
      </c>
    </row>
    <row r="293" spans="1:9" x14ac:dyDescent="0.3">
      <c r="A293" t="s">
        <v>14</v>
      </c>
      <c r="D293" s="1" t="str">
        <f t="shared" si="16"/>
        <v>Miami, FL</v>
      </c>
      <c r="F293" s="1" t="str">
        <f>"""BC Live Database"",""Gurrentz"",""50013"",""20"",""MIAM"",""1"",""MATA"",""10"",""137"",""40"",""NZ"""</f>
        <v>"BC Live Database","Gurrentz","50013","20","MIAM","1","MATA","10","137","40","NZ"</v>
      </c>
      <c r="G293" s="3">
        <v>44520</v>
      </c>
      <c r="H293" t="str">
        <f>"Maersk Taurus"</f>
        <v>Maersk Taurus</v>
      </c>
      <c r="I293" t="str">
        <f>"137"</f>
        <v>137</v>
      </c>
    </row>
    <row r="294" spans="1:9" x14ac:dyDescent="0.3">
      <c r="A294" t="s">
        <v>14</v>
      </c>
      <c r="D294" s="1" t="str">
        <f t="shared" si="16"/>
        <v>Miami, FL</v>
      </c>
      <c r="F294" s="1" t="str">
        <f>"""BC Live Database"",""Gurrentz"",""50013"",""20"",""MIAM"",""1"",""MARU"",""10"",""1534"",""40"",""AU"""</f>
        <v>"BC Live Database","Gurrentz","50013","20","MIAM","1","MARU","10","1534","40","AU"</v>
      </c>
      <c r="G294" s="3">
        <v>44528</v>
      </c>
      <c r="H294" t="str">
        <f>"Marius"</f>
        <v>Marius</v>
      </c>
      <c r="I294" t="str">
        <f>"1534"</f>
        <v>1534</v>
      </c>
    </row>
    <row r="295" spans="1:9" x14ac:dyDescent="0.3">
      <c r="A295" t="s">
        <v>14</v>
      </c>
      <c r="D295" s="1" t="str">
        <f t="shared" si="16"/>
        <v>Miami, FL</v>
      </c>
      <c r="F295" s="1" t="str">
        <f>"""BC Live Database"",""Gurrentz"",""50013"",""20"",""MIAM"",""1"",""MARU"",""10"",""1534"",""40"",""NZ"""</f>
        <v>"BC Live Database","Gurrentz","50013","20","MIAM","1","MARU","10","1534","40","NZ"</v>
      </c>
      <c r="G295" s="3">
        <v>44528</v>
      </c>
      <c r="H295" t="str">
        <f>"Marius"</f>
        <v>Marius</v>
      </c>
      <c r="I295" t="str">
        <f>"1534"</f>
        <v>1534</v>
      </c>
    </row>
    <row r="296" spans="1:9" x14ac:dyDescent="0.3">
      <c r="A296" t="s">
        <v>14</v>
      </c>
      <c r="D296" s="1" t="str">
        <f t="shared" si="16"/>
        <v>Miami, FL</v>
      </c>
      <c r="F296" s="1" t="str">
        <f>"""BC Live Database"",""Gurrentz"",""50013"",""20"",""MIAM"",""1"",""SPSY"",""10"",""140"",""40"",""AU"""</f>
        <v>"BC Live Database","Gurrentz","50013","20","MIAM","1","SPSY","10","140","40","AU"</v>
      </c>
      <c r="G296" s="3">
        <v>44528</v>
      </c>
      <c r="H296" t="str">
        <f>"Spirit of Sydney"</f>
        <v>Spirit of Sydney</v>
      </c>
      <c r="I296" t="str">
        <f>"140"</f>
        <v>140</v>
      </c>
    </row>
    <row r="297" spans="1:9" x14ac:dyDescent="0.3">
      <c r="A297" t="s">
        <v>14</v>
      </c>
      <c r="D297" s="1" t="str">
        <f t="shared" si="16"/>
        <v>Miami, FL</v>
      </c>
      <c r="F297" s="1" t="str">
        <f>"""BC Live Database"",""Gurrentz"",""50013"",""20"",""MIAM"",""1"",""SPSY"",""10"",""140"",""40"",""NZ"""</f>
        <v>"BC Live Database","Gurrentz","50013","20","MIAM","1","SPSY","10","140","40","NZ"</v>
      </c>
      <c r="G297" s="3">
        <v>44528</v>
      </c>
      <c r="H297" t="str">
        <f>"Spirit of Sydney"</f>
        <v>Spirit of Sydney</v>
      </c>
      <c r="I297" t="str">
        <f>"140"</f>
        <v>140</v>
      </c>
    </row>
    <row r="298" spans="1:9" x14ac:dyDescent="0.3">
      <c r="A298" t="s">
        <v>14</v>
      </c>
      <c r="D298" s="1" t="str">
        <f t="shared" si="16"/>
        <v>Miami, FL</v>
      </c>
      <c r="F298" s="1" t="str">
        <f>"""BC Live Database"",""Gurrentz"",""50013"",""20"",""MIAM"",""1"",""OLFM"",""10"",""141"",""40"",""AU"""</f>
        <v>"BC Live Database","Gurrentz","50013","20","MIAM","1","OLFM","10","141","40","AU"</v>
      </c>
      <c r="G298" s="3">
        <v>44529</v>
      </c>
      <c r="H298" t="str">
        <f>"Oluf Maersk"</f>
        <v>Oluf Maersk</v>
      </c>
      <c r="I298" t="str">
        <f>"141"</f>
        <v>141</v>
      </c>
    </row>
    <row r="299" spans="1:9" x14ac:dyDescent="0.3">
      <c r="A299" t="s">
        <v>14</v>
      </c>
      <c r="D299" s="1" t="str">
        <f t="shared" si="16"/>
        <v>Miami, FL</v>
      </c>
      <c r="F299" s="1" t="str">
        <f>"""BC Live Database"",""Gurrentz"",""50013"",""20"",""MIAM"",""1"",""OLFM"",""10"",""141"",""40"",""NZ"""</f>
        <v>"BC Live Database","Gurrentz","50013","20","MIAM","1","OLFM","10","141","40","NZ"</v>
      </c>
      <c r="G299" s="3">
        <v>44529</v>
      </c>
      <c r="H299" t="str">
        <f>"Oluf Maersk"</f>
        <v>Oluf Maersk</v>
      </c>
      <c r="I299" t="str">
        <f>"141"</f>
        <v>141</v>
      </c>
    </row>
    <row r="300" spans="1:9" x14ac:dyDescent="0.3">
      <c r="A300" t="s">
        <v>14</v>
      </c>
      <c r="D300" s="1" t="str">
        <f t="shared" si="16"/>
        <v>Miami, FL</v>
      </c>
      <c r="F300" s="1" t="str">
        <f>"""BC Live Database"",""Gurrentz"",""50013"",""20"",""MIAM"",""1"",""OLGM"",""10"",""143"",""40"",""AU"""</f>
        <v>"BC Live Database","Gurrentz","50013","20","MIAM","1","OLGM","10","143","40","AU"</v>
      </c>
      <c r="G300" s="3">
        <v>44543</v>
      </c>
      <c r="H300" t="str">
        <f>"Olga Maersk"</f>
        <v>Olga Maersk</v>
      </c>
      <c r="I300" t="str">
        <f>"143"</f>
        <v>143</v>
      </c>
    </row>
    <row r="301" spans="1:9" x14ac:dyDescent="0.3">
      <c r="A301" t="s">
        <v>14</v>
      </c>
      <c r="D301" s="1" t="str">
        <f t="shared" si="16"/>
        <v>Miami, FL</v>
      </c>
      <c r="F301" s="1" t="str">
        <f>"""BC Live Database"",""Gurrentz"",""50013"",""20"",""MIAM"",""1"",""OLGM"",""10"",""143"",""40"",""NZ"""</f>
        <v>"BC Live Database","Gurrentz","50013","20","MIAM","1","OLGM","10","143","40","NZ"</v>
      </c>
      <c r="G301" s="3">
        <v>44543</v>
      </c>
      <c r="H301" t="str">
        <f>"Olga Maersk"</f>
        <v>Olga Maersk</v>
      </c>
      <c r="I301" t="str">
        <f>"143"</f>
        <v>143</v>
      </c>
    </row>
    <row r="302" spans="1:9" x14ac:dyDescent="0.3">
      <c r="A302" t="s">
        <v>14</v>
      </c>
      <c r="D302" s="1" t="str">
        <f t="shared" si="16"/>
        <v>Miami, FL</v>
      </c>
      <c r="F302" s="1" t="str">
        <f>"""BC Live Database"",""Gurrentz"",""50013"",""20"",""MIAM"",""1"",""MABI"",""10"",""145"",""40"",""AU"""</f>
        <v>"BC Live Database","Gurrentz","50013","20","MIAM","1","MABI","10","145","40","AU"</v>
      </c>
      <c r="G302" s="3">
        <v>44557</v>
      </c>
      <c r="H302" t="str">
        <f>"Maersk Bintan"</f>
        <v>Maersk Bintan</v>
      </c>
      <c r="I302" t="str">
        <f>"145"</f>
        <v>145</v>
      </c>
    </row>
    <row r="303" spans="1:9" x14ac:dyDescent="0.3">
      <c r="A303" t="s">
        <v>14</v>
      </c>
      <c r="D303" s="1" t="str">
        <f t="shared" si="16"/>
        <v>Miami, FL</v>
      </c>
      <c r="F303" s="1" t="str">
        <f>"""BC Live Database"",""Gurrentz"",""50013"",""20"",""MIAM"",""1"",""MABI"",""10"",""145"",""40"",""NZ"""</f>
        <v>"BC Live Database","Gurrentz","50013","20","MIAM","1","MABI","10","145","40","NZ"</v>
      </c>
      <c r="G303" s="3">
        <v>44557</v>
      </c>
      <c r="H303" t="str">
        <f>"Maersk Bintan"</f>
        <v>Maersk Bintan</v>
      </c>
      <c r="I303" t="str">
        <f>"145"</f>
        <v>145</v>
      </c>
    </row>
    <row r="304" spans="1:9" x14ac:dyDescent="0.3">
      <c r="A304" t="s">
        <v>14</v>
      </c>
      <c r="D304" s="1" t="str">
        <f>D275</f>
        <v>Miami, FL</v>
      </c>
    </row>
    <row r="305" spans="1:9" x14ac:dyDescent="0.3">
      <c r="A305" t="s">
        <v>14</v>
      </c>
      <c r="D305" s="1" t="str">
        <f t="shared" ref="D305" si="17">E305</f>
        <v>Oakland, CA</v>
      </c>
      <c r="E305" t="str">
        <f>"Oakland, CA"</f>
        <v>Oakland, CA</v>
      </c>
      <c r="G305" t="s">
        <v>3</v>
      </c>
      <c r="H305" t="s">
        <v>4</v>
      </c>
      <c r="I305" t="s">
        <v>5</v>
      </c>
    </row>
    <row r="306" spans="1:9" x14ac:dyDescent="0.3">
      <c r="A306" t="s">
        <v>14</v>
      </c>
      <c r="D306" s="1" t="str">
        <f t="shared" ref="D306" si="18">D305</f>
        <v>Oakland, CA</v>
      </c>
      <c r="F306" s="1" t="str">
        <f>"""BC Live Database"",""Gurrentz"",""50013"",""20"",""OAKL"",""1"",""NOGU"",""10"",""125"",""40"",""AU"""</f>
        <v>"BC Live Database","Gurrentz","50013","20","OAKL","1","NOGU","10","125","40","AU"</v>
      </c>
      <c r="G306" s="3">
        <v>44456</v>
      </c>
      <c r="H306" t="str">
        <f>"Northern Guild"</f>
        <v>Northern Guild</v>
      </c>
      <c r="I306" t="str">
        <f>"125"</f>
        <v>125</v>
      </c>
    </row>
    <row r="307" spans="1:9" x14ac:dyDescent="0.3">
      <c r="A307" t="s">
        <v>14</v>
      </c>
      <c r="D307" s="1" t="str">
        <f t="shared" ref="D307:D333" si="19">D306</f>
        <v>Oakland, CA</v>
      </c>
      <c r="F307" s="1" t="str">
        <f>"""BC Live Database"",""Gurrentz"",""50013"",""20"",""OAKL"",""1"",""NOGU"",""10"",""125"",""40"",""NZ"""</f>
        <v>"BC Live Database","Gurrentz","50013","20","OAKL","1","NOGU","10","125","40","NZ"</v>
      </c>
      <c r="G307" s="3">
        <v>44456</v>
      </c>
      <c r="H307" t="str">
        <f>"Northern Guild"</f>
        <v>Northern Guild</v>
      </c>
      <c r="I307" t="str">
        <f>"125"</f>
        <v>125</v>
      </c>
    </row>
    <row r="308" spans="1:9" x14ac:dyDescent="0.3">
      <c r="A308" t="s">
        <v>14</v>
      </c>
      <c r="D308" s="1" t="str">
        <f t="shared" si="19"/>
        <v>Oakland, CA</v>
      </c>
      <c r="F308" s="1" t="str">
        <f>"""BC Live Database"",""Gurrentz"",""50013"",""20"",""OAKL"",""1"",""ANWA"",""10"",""131"",""40"",""AU"""</f>
        <v>"BC Live Database","Gurrentz","50013","20","OAKL","1","ANWA","10","131","40","AU"</v>
      </c>
      <c r="G308" s="3">
        <v>44477</v>
      </c>
      <c r="H308" t="str">
        <f>"ANL Warrnambool"</f>
        <v>ANL Warrnambool</v>
      </c>
      <c r="I308" t="str">
        <f>"131"</f>
        <v>131</v>
      </c>
    </row>
    <row r="309" spans="1:9" x14ac:dyDescent="0.3">
      <c r="A309" t="s">
        <v>14</v>
      </c>
      <c r="D309" s="1" t="str">
        <f t="shared" si="19"/>
        <v>Oakland, CA</v>
      </c>
      <c r="F309" s="1" t="str">
        <f>"""BC Live Database"",""Gurrentz"",""50013"",""20"",""OAKL"",""1"",""ANWA"",""10"",""131"",""40"",""NZ"""</f>
        <v>"BC Live Database","Gurrentz","50013","20","OAKL","1","ANWA","10","131","40","NZ"</v>
      </c>
      <c r="G309" s="3">
        <v>44477</v>
      </c>
      <c r="H309" t="str">
        <f>"ANL Warrnambool"</f>
        <v>ANL Warrnambool</v>
      </c>
      <c r="I309" t="str">
        <f>"131"</f>
        <v>131</v>
      </c>
    </row>
    <row r="310" spans="1:9" x14ac:dyDescent="0.3">
      <c r="A310" t="s">
        <v>14</v>
      </c>
      <c r="D310" s="1" t="str">
        <f t="shared" si="19"/>
        <v>Oakland, CA</v>
      </c>
      <c r="F310" s="1" t="str">
        <f>"""BC Live Database"",""Gurrentz"",""50013"",""20"",""OAKL"",""1"",""LOEX"",""10"",""127"",""40"",""AU"""</f>
        <v>"BC Live Database","Gurrentz","50013","20","OAKL","1","LOEX","10","127","40","AU"</v>
      </c>
      <c r="G310" s="3">
        <v>44477</v>
      </c>
      <c r="H310" t="str">
        <f>"London Express"</f>
        <v>London Express</v>
      </c>
      <c r="I310" t="str">
        <f>"127"</f>
        <v>127</v>
      </c>
    </row>
    <row r="311" spans="1:9" x14ac:dyDescent="0.3">
      <c r="A311" t="s">
        <v>14</v>
      </c>
      <c r="D311" s="1" t="str">
        <f t="shared" si="19"/>
        <v>Oakland, CA</v>
      </c>
      <c r="F311" s="1" t="str">
        <f>"""BC Live Database"",""Gurrentz"",""50013"",""20"",""OAKL"",""1"",""LOEX"",""10"",""127"",""40"",""NZ"""</f>
        <v>"BC Live Database","Gurrentz","50013","20","OAKL","1","LOEX","10","127","40","NZ"</v>
      </c>
      <c r="G311" s="3">
        <v>44477</v>
      </c>
      <c r="H311" t="str">
        <f>"London Express"</f>
        <v>London Express</v>
      </c>
      <c r="I311" t="str">
        <f>"127"</f>
        <v>127</v>
      </c>
    </row>
    <row r="312" spans="1:9" x14ac:dyDescent="0.3">
      <c r="A312" t="s">
        <v>14</v>
      </c>
      <c r="D312" s="1" t="str">
        <f t="shared" si="19"/>
        <v>Oakland, CA</v>
      </c>
      <c r="F312" s="1" t="str">
        <f>"""BC Live Database"",""Gurrentz"",""50013"",""20"",""OAKL"",""1"",""MATE"",""10"",""128"",""40"",""AU"""</f>
        <v>"BC Live Database","Gurrentz","50013","20","OAKL","1","MATE","10","128","40","AU"</v>
      </c>
      <c r="G312" s="3">
        <v>44486</v>
      </c>
      <c r="H312" t="str">
        <f>"Mate"</f>
        <v>Mate</v>
      </c>
      <c r="I312" t="str">
        <f>"128"</f>
        <v>128</v>
      </c>
    </row>
    <row r="313" spans="1:9" x14ac:dyDescent="0.3">
      <c r="A313" t="s">
        <v>14</v>
      </c>
      <c r="D313" s="1" t="str">
        <f t="shared" si="19"/>
        <v>Oakland, CA</v>
      </c>
      <c r="F313" s="1" t="str">
        <f>"""BC Live Database"",""Gurrentz"",""50013"",""20"",""OAKL"",""1"",""MATE"",""10"",""128"",""40"",""NZ"""</f>
        <v>"BC Live Database","Gurrentz","50013","20","OAKL","1","MATE","10","128","40","NZ"</v>
      </c>
      <c r="G313" s="3">
        <v>44486</v>
      </c>
      <c r="H313" t="str">
        <f>"Mate"</f>
        <v>Mate</v>
      </c>
      <c r="I313" t="str">
        <f>"128"</f>
        <v>128</v>
      </c>
    </row>
    <row r="314" spans="1:9" x14ac:dyDescent="0.3">
      <c r="A314" t="s">
        <v>14</v>
      </c>
      <c r="D314" s="1" t="str">
        <f t="shared" si="19"/>
        <v>Oakland, CA</v>
      </c>
      <c r="F314" s="1" t="str">
        <f>"""BC Live Database"",""Gurrentz"",""50013"",""20"",""OAKL"",""1"",""NYLA"",""10"",""612"",""40"",""NI"""</f>
        <v>"BC Live Database","Gurrentz","50013","20","OAKL","1","NYLA","10","612","40","NI"</v>
      </c>
      <c r="G314" s="3">
        <v>44489</v>
      </c>
      <c r="H314" t="str">
        <f>"NYK Laura"</f>
        <v>NYK Laura</v>
      </c>
      <c r="I314" t="str">
        <f>"612"</f>
        <v>612</v>
      </c>
    </row>
    <row r="315" spans="1:9" x14ac:dyDescent="0.3">
      <c r="A315" t="s">
        <v>14</v>
      </c>
      <c r="D315" s="1" t="str">
        <f t="shared" si="19"/>
        <v>Oakland, CA</v>
      </c>
      <c r="F315" s="1" t="str">
        <f>"""BC Live Database"",""Gurrentz"",""50013"",""20"",""OAKL"",""1"",""MANO"",""10"",""001"",""40"",""NI"""</f>
        <v>"BC Live Database","Gurrentz","50013","20","OAKL","1","MANO","10","001","40","NI"</v>
      </c>
      <c r="G315" s="3">
        <v>44491</v>
      </c>
      <c r="H315" t="str">
        <f>"Maersk Northwood"</f>
        <v>Maersk Northwood</v>
      </c>
      <c r="I315" t="str">
        <f>"001"</f>
        <v>001</v>
      </c>
    </row>
    <row r="316" spans="1:9" x14ac:dyDescent="0.3">
      <c r="A316" t="s">
        <v>14</v>
      </c>
      <c r="D316" s="1" t="str">
        <f t="shared" si="19"/>
        <v>Oakland, CA</v>
      </c>
      <c r="F316" s="1" t="str">
        <f>"""BC Live Database"",""Gurrentz"",""50013"",""20"",""OAKL"",""1"",""SYOK"",""10"",""136"",""40"",""AU"""</f>
        <v>"BC Live Database","Gurrentz","50013","20","OAKL","1","SYOK","10","136","40","AU"</v>
      </c>
      <c r="G316" s="3">
        <v>44500</v>
      </c>
      <c r="H316" t="str">
        <f>"Synergy Oakland"</f>
        <v>Synergy Oakland</v>
      </c>
      <c r="I316" t="str">
        <f>"136"</f>
        <v>136</v>
      </c>
    </row>
    <row r="317" spans="1:9" x14ac:dyDescent="0.3">
      <c r="A317" t="s">
        <v>14</v>
      </c>
      <c r="D317" s="1" t="str">
        <f t="shared" si="19"/>
        <v>Oakland, CA</v>
      </c>
      <c r="F317" s="1" t="str">
        <f>"""BC Live Database"",""Gurrentz"",""50013"",""20"",""OAKL"",""1"",""SYOK"",""10"",""136"",""40"",""NZ"""</f>
        <v>"BC Live Database","Gurrentz","50013","20","OAKL","1","SYOK","10","136","40","NZ"</v>
      </c>
      <c r="G317" s="3">
        <v>44500</v>
      </c>
      <c r="H317" t="str">
        <f>"Synergy Oakland"</f>
        <v>Synergy Oakland</v>
      </c>
      <c r="I317" t="str">
        <f>"136"</f>
        <v>136</v>
      </c>
    </row>
    <row r="318" spans="1:9" x14ac:dyDescent="0.3">
      <c r="A318" t="s">
        <v>14</v>
      </c>
      <c r="D318" s="1" t="str">
        <f t="shared" si="19"/>
        <v>Oakland, CA</v>
      </c>
      <c r="F318" s="1" t="str">
        <f>"""BC Live Database"",""Gurrentz"",""50013"",""20"",""OAKL"",""1"",""CAJE"",""10"",""135"",""40"",""AU"""</f>
        <v>"BC Live Database","Gurrentz","50013","20","OAKL","1","CAJE","10","135","40","AU"</v>
      </c>
      <c r="G318" s="3">
        <v>44503</v>
      </c>
      <c r="H318" t="str">
        <f>"Cap Jervis"</f>
        <v>Cap Jervis</v>
      </c>
      <c r="I318" t="str">
        <f>"135"</f>
        <v>135</v>
      </c>
    </row>
    <row r="319" spans="1:9" x14ac:dyDescent="0.3">
      <c r="A319" t="s">
        <v>14</v>
      </c>
      <c r="D319" s="1" t="str">
        <f t="shared" si="19"/>
        <v>Oakland, CA</v>
      </c>
      <c r="F319" s="1" t="str">
        <f>"""BC Live Database"",""Gurrentz"",""50013"",""20"",""OAKL"",""1"",""CAJE"",""10"",""135"",""40"",""NZ"""</f>
        <v>"BC Live Database","Gurrentz","50013","20","OAKL","1","CAJE","10","135","40","NZ"</v>
      </c>
      <c r="G319" s="3">
        <v>44503</v>
      </c>
      <c r="H319" t="str">
        <f>"Cap Jervis"</f>
        <v>Cap Jervis</v>
      </c>
      <c r="I319" t="str">
        <f>"135"</f>
        <v>135</v>
      </c>
    </row>
    <row r="320" spans="1:9" x14ac:dyDescent="0.3">
      <c r="A320" t="s">
        <v>14</v>
      </c>
      <c r="D320" s="1" t="str">
        <f t="shared" si="19"/>
        <v>Oakland, CA</v>
      </c>
      <c r="F320" s="1" t="str">
        <f>"""BC Live Database"",""Gurrentz"",""50013"",""20"",""OAKL"",""1"",""NOGU"",""10"",""139"",""40"",""AU"""</f>
        <v>"BC Live Database","Gurrentz","50013","20","OAKL","1","NOGU","10","139","40","AU"</v>
      </c>
      <c r="G320" s="3">
        <v>44526</v>
      </c>
      <c r="H320" t="str">
        <f>"Northern Guild"</f>
        <v>Northern Guild</v>
      </c>
      <c r="I320" t="str">
        <f>"139"</f>
        <v>139</v>
      </c>
    </row>
    <row r="321" spans="1:9" x14ac:dyDescent="0.3">
      <c r="A321" t="s">
        <v>14</v>
      </c>
      <c r="D321" s="1" t="str">
        <f t="shared" si="19"/>
        <v>Oakland, CA</v>
      </c>
      <c r="F321" s="1" t="str">
        <f>"""BC Live Database"",""Gurrentz"",""50013"",""20"",""OAKL"",""1"",""NOGU"",""10"",""139"",""40"",""NZ"""</f>
        <v>"BC Live Database","Gurrentz","50013","20","OAKL","1","NOGU","10","139","40","NZ"</v>
      </c>
      <c r="G321" s="3">
        <v>44526</v>
      </c>
      <c r="H321" t="str">
        <f>"Northern Guild"</f>
        <v>Northern Guild</v>
      </c>
      <c r="I321" t="str">
        <f>"139"</f>
        <v>139</v>
      </c>
    </row>
    <row r="322" spans="1:9" x14ac:dyDescent="0.3">
      <c r="A322" t="s">
        <v>14</v>
      </c>
      <c r="D322" s="1" t="str">
        <f t="shared" si="19"/>
        <v>Oakland, CA</v>
      </c>
      <c r="F322" s="1" t="str">
        <f>"""BC Live Database"",""Gurrentz"",""50013"",""20"",""OAKL"",""1"",""ANWA"",""10"",""145"",""40"",""AU"""</f>
        <v>"BC Live Database","Gurrentz","50013","20","OAKL","1","ANWA","10","145","40","AU"</v>
      </c>
      <c r="G322" s="3">
        <v>44542</v>
      </c>
      <c r="H322" t="str">
        <f>"ANL Warrnambool"</f>
        <v>ANL Warrnambool</v>
      </c>
      <c r="I322" t="str">
        <f>"145"</f>
        <v>145</v>
      </c>
    </row>
    <row r="323" spans="1:9" x14ac:dyDescent="0.3">
      <c r="A323" t="s">
        <v>14</v>
      </c>
      <c r="D323" s="1" t="str">
        <f t="shared" si="19"/>
        <v>Oakland, CA</v>
      </c>
      <c r="F323" s="1" t="str">
        <f>"""BC Live Database"",""Gurrentz"",""50013"",""20"",""OAKL"",""1"",""ANWA"",""10"",""145"",""40"",""NZ"""</f>
        <v>"BC Live Database","Gurrentz","50013","20","OAKL","1","ANWA","10","145","40","NZ"</v>
      </c>
      <c r="G323" s="3">
        <v>44542</v>
      </c>
      <c r="H323" t="str">
        <f>"ANL Warrnambool"</f>
        <v>ANL Warrnambool</v>
      </c>
      <c r="I323" t="str">
        <f>"145"</f>
        <v>145</v>
      </c>
    </row>
    <row r="324" spans="1:9" x14ac:dyDescent="0.3">
      <c r="A324" t="s">
        <v>14</v>
      </c>
      <c r="D324" s="1" t="str">
        <f t="shared" si="19"/>
        <v>Oakland, CA</v>
      </c>
      <c r="F324" s="1" t="str">
        <f>"""BC Live Database"",""Gurrentz"",""50013"",""20"",""OAKL"",""1"",""LOEX"",""10"",""140"",""40"",""AU"""</f>
        <v>"BC Live Database","Gurrentz","50013","20","OAKL","1","LOEX","10","140","40","AU"</v>
      </c>
      <c r="G324" s="3">
        <v>44562</v>
      </c>
      <c r="H324" t="str">
        <f>"London Express"</f>
        <v>London Express</v>
      </c>
      <c r="I324" t="str">
        <f>"140"</f>
        <v>140</v>
      </c>
    </row>
    <row r="325" spans="1:9" x14ac:dyDescent="0.3">
      <c r="A325" t="s">
        <v>14</v>
      </c>
      <c r="D325" s="1" t="str">
        <f t="shared" si="19"/>
        <v>Oakland, CA</v>
      </c>
      <c r="F325" s="1" t="str">
        <f>"""BC Live Database"",""Gurrentz"",""50013"",""20"",""OAKL"",""1"",""LOEX"",""10"",""140"",""40"",""NZ"""</f>
        <v>"BC Live Database","Gurrentz","50013","20","OAKL","1","LOEX","10","140","40","NZ"</v>
      </c>
      <c r="G325" s="3">
        <v>44562</v>
      </c>
      <c r="H325" t="str">
        <f>"London Express"</f>
        <v>London Express</v>
      </c>
      <c r="I325" t="str">
        <f>"140"</f>
        <v>140</v>
      </c>
    </row>
    <row r="326" spans="1:9" x14ac:dyDescent="0.3">
      <c r="A326" t="s">
        <v>14</v>
      </c>
      <c r="D326" s="1" t="str">
        <f t="shared" si="19"/>
        <v>Oakland, CA</v>
      </c>
      <c r="F326" s="1" t="str">
        <f>"""BC Live Database"",""Gurrentz"",""50013"",""20"",""OAKL"",""1"",""JPLI"",""10"",""136"",""40"",""AU"""</f>
        <v>"BC Live Database","Gurrentz","50013","20","OAKL","1","JPLI","10","136","40","AU"</v>
      </c>
      <c r="G326" s="3">
        <v>44566</v>
      </c>
      <c r="H326" t="str">
        <f>"JPO Libra"</f>
        <v>JPO Libra</v>
      </c>
      <c r="I326" t="str">
        <f>"136"</f>
        <v>136</v>
      </c>
    </row>
    <row r="327" spans="1:9" x14ac:dyDescent="0.3">
      <c r="A327" t="s">
        <v>14</v>
      </c>
      <c r="D327" s="1" t="str">
        <f t="shared" si="19"/>
        <v>Oakland, CA</v>
      </c>
      <c r="F327" s="1" t="str">
        <f>"""BC Live Database"",""Gurrentz"",""50013"",""20"",""OAKL"",""1"",""JPLI"",""10"",""136"",""40"",""NZ"""</f>
        <v>"BC Live Database","Gurrentz","50013","20","OAKL","1","JPLI","10","136","40","NZ"</v>
      </c>
      <c r="G327" s="3">
        <v>44566</v>
      </c>
      <c r="H327" t="str">
        <f>"JPO Libra"</f>
        <v>JPO Libra</v>
      </c>
      <c r="I327" t="str">
        <f>"136"</f>
        <v>136</v>
      </c>
    </row>
    <row r="328" spans="1:9" x14ac:dyDescent="0.3">
      <c r="A328" t="s">
        <v>14</v>
      </c>
      <c r="D328" s="1" t="str">
        <f t="shared" si="19"/>
        <v>Oakland, CA</v>
      </c>
      <c r="F328" s="1" t="str">
        <f>"""BC Live Database"",""Gurrentz"",""50013"",""20"",""OAKL"",""1"",""DEBU"",""10"",""138"",""40"",""AU"""</f>
        <v>"BC Live Database","Gurrentz","50013","20","OAKL","1","DEBU","10","138","40","AU"</v>
      </c>
      <c r="G328" s="3">
        <v>44570</v>
      </c>
      <c r="H328" t="str">
        <f>"Debussy"</f>
        <v>Debussy</v>
      </c>
      <c r="I328" t="str">
        <f>"138"</f>
        <v>138</v>
      </c>
    </row>
    <row r="329" spans="1:9" x14ac:dyDescent="0.3">
      <c r="A329" t="s">
        <v>14</v>
      </c>
      <c r="D329" s="1" t="str">
        <f t="shared" si="19"/>
        <v>Oakland, CA</v>
      </c>
      <c r="F329" s="1" t="str">
        <f>"""BC Live Database"",""Gurrentz"",""50013"",""20"",""OAKL"",""1"",""DEBU"",""10"",""138"",""40"",""NZ"""</f>
        <v>"BC Live Database","Gurrentz","50013","20","OAKL","1","DEBU","10","138","40","NZ"</v>
      </c>
      <c r="G329" s="3">
        <v>44570</v>
      </c>
      <c r="H329" t="str">
        <f>"Debussy"</f>
        <v>Debussy</v>
      </c>
      <c r="I329" t="str">
        <f>"138"</f>
        <v>138</v>
      </c>
    </row>
    <row r="330" spans="1:9" x14ac:dyDescent="0.3">
      <c r="A330" t="s">
        <v>14</v>
      </c>
      <c r="D330" s="1" t="str">
        <f t="shared" si="19"/>
        <v>Oakland, CA</v>
      </c>
      <c r="F330" s="1" t="str">
        <f>"""BC Live Database"",""Gurrentz"",""50013"",""20"",""OAKL"",""1"",""CAJE"",""10"",""147"",""40"",""AU"""</f>
        <v>"BC Live Database","Gurrentz","50013","20","OAKL","1","CAJE","10","147","40","AU"</v>
      </c>
      <c r="G330" s="3">
        <v>44575</v>
      </c>
      <c r="H330" t="str">
        <f>"Cap Jervis"</f>
        <v>Cap Jervis</v>
      </c>
      <c r="I330" t="str">
        <f>"147"</f>
        <v>147</v>
      </c>
    </row>
    <row r="331" spans="1:9" x14ac:dyDescent="0.3">
      <c r="A331" t="s">
        <v>14</v>
      </c>
      <c r="D331" s="1" t="str">
        <f t="shared" si="19"/>
        <v>Oakland, CA</v>
      </c>
      <c r="F331" s="1" t="str">
        <f>"""BC Live Database"",""Gurrentz"",""50013"",""20"",""OAKL"",""1"",""CAJE"",""10"",""147"",""40"",""NZ"""</f>
        <v>"BC Live Database","Gurrentz","50013","20","OAKL","1","CAJE","10","147","40","NZ"</v>
      </c>
      <c r="G331" s="3">
        <v>44575</v>
      </c>
      <c r="H331" t="str">
        <f>"Cap Jervis"</f>
        <v>Cap Jervis</v>
      </c>
      <c r="I331" t="str">
        <f>"147"</f>
        <v>147</v>
      </c>
    </row>
    <row r="332" spans="1:9" x14ac:dyDescent="0.3">
      <c r="A332" t="s">
        <v>14</v>
      </c>
      <c r="D332" s="1" t="str">
        <f t="shared" si="19"/>
        <v>Oakland, CA</v>
      </c>
      <c r="F332" s="1" t="str">
        <f>"""BC Live Database"",""Gurrentz"",""50013"",""20"",""OAKL"",""1"",""MATE"",""10"",""146"",""40"",""AU"""</f>
        <v>"BC Live Database","Gurrentz","50013","20","OAKL","1","MATE","10","146","40","AU"</v>
      </c>
      <c r="G332" s="3">
        <v>44577</v>
      </c>
      <c r="H332" t="str">
        <f>"Mate"</f>
        <v>Mate</v>
      </c>
      <c r="I332" t="str">
        <f>"146"</f>
        <v>146</v>
      </c>
    </row>
    <row r="333" spans="1:9" x14ac:dyDescent="0.3">
      <c r="A333" t="s">
        <v>14</v>
      </c>
      <c r="D333" s="1" t="str">
        <f t="shared" si="19"/>
        <v>Oakland, CA</v>
      </c>
      <c r="F333" s="1" t="str">
        <f>"""BC Live Database"",""Gurrentz"",""50013"",""20"",""OAKL"",""1"",""MATE"",""10"",""146"",""40"",""NZ"""</f>
        <v>"BC Live Database","Gurrentz","50013","20","OAKL","1","MATE","10","146","40","NZ"</v>
      </c>
      <c r="G333" s="3">
        <v>44577</v>
      </c>
      <c r="H333" t="str">
        <f>"Mate"</f>
        <v>Mate</v>
      </c>
      <c r="I333" t="str">
        <f>"146"</f>
        <v>146</v>
      </c>
    </row>
    <row r="334" spans="1:9" x14ac:dyDescent="0.3">
      <c r="A334" t="s">
        <v>14</v>
      </c>
      <c r="D334" s="1" t="str">
        <f>D306</f>
        <v>Oakland, CA</v>
      </c>
    </row>
    <row r="335" spans="1:9" x14ac:dyDescent="0.3">
      <c r="A335" t="s">
        <v>14</v>
      </c>
      <c r="D335" s="1" t="str">
        <f t="shared" ref="D335" si="20">E335</f>
        <v>Philadelphia, PA</v>
      </c>
      <c r="E335" t="str">
        <f>"Philadelphia, PA"</f>
        <v>Philadelphia, PA</v>
      </c>
      <c r="G335" t="s">
        <v>3</v>
      </c>
      <c r="H335" t="s">
        <v>4</v>
      </c>
      <c r="I335" t="s">
        <v>5</v>
      </c>
    </row>
    <row r="336" spans="1:9" x14ac:dyDescent="0.3">
      <c r="A336" t="s">
        <v>14</v>
      </c>
      <c r="D336" s="1" t="str">
        <f t="shared" ref="D336" si="21">D335</f>
        <v>Philadelphia, PA</v>
      </c>
      <c r="F336" s="1" t="str">
        <f>"""BC Live Database"",""Gurrentz"",""50013"",""20"",""PHIL"",""1"",""MSOL"",""10"",""206"",""40"",""UY"""</f>
        <v>"BC Live Database","Gurrentz","50013","20","PHIL","1","MSOL","10","206","40","UY"</v>
      </c>
      <c r="G336" s="3">
        <v>37304</v>
      </c>
      <c r="H336" t="str">
        <f>"MSC Olia"</f>
        <v>MSC Olia</v>
      </c>
      <c r="I336" t="str">
        <f>"206"</f>
        <v>206</v>
      </c>
    </row>
    <row r="337" spans="1:9" x14ac:dyDescent="0.3">
      <c r="A337" t="s">
        <v>14</v>
      </c>
      <c r="D337" s="1" t="str">
        <f t="shared" ref="D337:D400" si="22">D336</f>
        <v>Philadelphia, PA</v>
      </c>
      <c r="F337" s="1" t="str">
        <f>"""BC Live Database"",""Gurrentz"",""50013"",""20"",""PHIL"",""1"",""SPSI"",""10"",""123"",""40"",""AU"""</f>
        <v>"BC Live Database","Gurrentz","50013","20","PHIL","1","SPSI","10","123","40","AU"</v>
      </c>
      <c r="G337" s="3">
        <v>44391</v>
      </c>
      <c r="H337" t="str">
        <f>"Spirit of Singapore"</f>
        <v>Spirit of Singapore</v>
      </c>
      <c r="I337" t="str">
        <f>"123"</f>
        <v>123</v>
      </c>
    </row>
    <row r="338" spans="1:9" x14ac:dyDescent="0.3">
      <c r="A338" t="s">
        <v>14</v>
      </c>
      <c r="D338" s="1" t="str">
        <f t="shared" si="22"/>
        <v>Philadelphia, PA</v>
      </c>
      <c r="F338" s="1" t="str">
        <f>"""BC Live Database"",""Gurrentz"",""50013"",""20"",""PHIL"",""1"",""ASPT"",""10"",""037"",""40"",""NI"""</f>
        <v>"BC Live Database","Gurrentz","50013","20","PHIL","1","ASPT","10","037","40","NI"</v>
      </c>
      <c r="G338" s="3">
        <v>44487</v>
      </c>
      <c r="H338" t="str">
        <f>"AS Petra"</f>
        <v>AS Petra</v>
      </c>
      <c r="I338" t="str">
        <f>"037"</f>
        <v>037</v>
      </c>
    </row>
    <row r="339" spans="1:9" x14ac:dyDescent="0.3">
      <c r="A339" t="s">
        <v>14</v>
      </c>
      <c r="D339" s="1" t="str">
        <f t="shared" si="22"/>
        <v>Philadelphia, PA</v>
      </c>
      <c r="F339" s="1" t="str">
        <f>"""BC Live Database"",""Gurrentz"",""50013"",""20"",""PHIL"",""1"",""MAIN"",""10"",""135"",""40"",""AU"""</f>
        <v>"BC Live Database","Gurrentz","50013","20","PHIL","1","MAIN","10","135","40","AU"</v>
      </c>
      <c r="G339" s="3">
        <v>44488</v>
      </c>
      <c r="H339" t="str">
        <f>"Maersk Inverness"</f>
        <v>Maersk Inverness</v>
      </c>
      <c r="I339" t="str">
        <f>"135"</f>
        <v>135</v>
      </c>
    </row>
    <row r="340" spans="1:9" x14ac:dyDescent="0.3">
      <c r="A340" t="s">
        <v>14</v>
      </c>
      <c r="D340" s="1" t="str">
        <f t="shared" si="22"/>
        <v>Philadelphia, PA</v>
      </c>
      <c r="F340" s="1" t="str">
        <f>"""BC Live Database"",""Gurrentz"",""50013"",""20"",""PHIL"",""1"",""MAIN"",""10"",""135"",""40"",""BR"""</f>
        <v>"BC Live Database","Gurrentz","50013","20","PHIL","1","MAIN","10","135","40","BR"</v>
      </c>
      <c r="G340" s="3">
        <v>44488</v>
      </c>
      <c r="H340" t="str">
        <f>"Maersk Inverness"</f>
        <v>Maersk Inverness</v>
      </c>
      <c r="I340" t="str">
        <f>"135"</f>
        <v>135</v>
      </c>
    </row>
    <row r="341" spans="1:9" x14ac:dyDescent="0.3">
      <c r="A341" t="s">
        <v>14</v>
      </c>
      <c r="D341" s="1" t="str">
        <f t="shared" si="22"/>
        <v>Philadelphia, PA</v>
      </c>
      <c r="F341" s="1" t="str">
        <f>"""BC Live Database"",""Gurrentz"",""50013"",""20"",""PHIL"",""1"",""MAIN"",""10"",""135"",""40"",""NZ"""</f>
        <v>"BC Live Database","Gurrentz","50013","20","PHIL","1","MAIN","10","135","40","NZ"</v>
      </c>
      <c r="G341" s="3">
        <v>44488</v>
      </c>
      <c r="H341" t="str">
        <f>"Maersk Inverness"</f>
        <v>Maersk Inverness</v>
      </c>
      <c r="I341" t="str">
        <f>"135"</f>
        <v>135</v>
      </c>
    </row>
    <row r="342" spans="1:9" x14ac:dyDescent="0.3">
      <c r="A342" t="s">
        <v>14</v>
      </c>
      <c r="D342" s="1" t="str">
        <f t="shared" si="22"/>
        <v>Philadelphia, PA</v>
      </c>
      <c r="F342" s="1" t="str">
        <f>"""BC Live Database"",""Gurrentz"",""50013"",""20"",""PHIL"",""1"",""NOMG"",""10"",""138"",""40"",""BR"""</f>
        <v>"BC Live Database","Gurrentz","50013","20","PHIL","1","NOMG","10","138","40","BR"</v>
      </c>
      <c r="G342" s="3">
        <v>44490</v>
      </c>
      <c r="H342" t="str">
        <f>"Northern Magnum"</f>
        <v>Northern Magnum</v>
      </c>
      <c r="I342" t="str">
        <f>"138"</f>
        <v>138</v>
      </c>
    </row>
    <row r="343" spans="1:9" x14ac:dyDescent="0.3">
      <c r="A343" t="s">
        <v>14</v>
      </c>
      <c r="D343" s="1" t="str">
        <f t="shared" si="22"/>
        <v>Philadelphia, PA</v>
      </c>
      <c r="F343" s="1" t="str">
        <f>"""BC Live Database"",""Gurrentz"",""50013"",""20"",""PHIL"",""1"",""OLIM"",""10"",""136"",""40"",""AU"""</f>
        <v>"BC Live Database","Gurrentz","50013","20","PHIL","1","OLIM","10","136","40","AU"</v>
      </c>
      <c r="G343" s="3">
        <v>44495</v>
      </c>
      <c r="H343" t="str">
        <f>"Olivia Maersk"</f>
        <v>Olivia Maersk</v>
      </c>
      <c r="I343" t="str">
        <f>"136"</f>
        <v>136</v>
      </c>
    </row>
    <row r="344" spans="1:9" x14ac:dyDescent="0.3">
      <c r="A344" t="s">
        <v>14</v>
      </c>
      <c r="D344" s="1" t="str">
        <f t="shared" si="22"/>
        <v>Philadelphia, PA</v>
      </c>
      <c r="F344" s="1" t="str">
        <f>"""BC Live Database"",""Gurrentz"",""50013"",""20"",""PHIL"",""1"",""OLIM"",""10"",""136"",""40"",""BR"""</f>
        <v>"BC Live Database","Gurrentz","50013","20","PHIL","1","OLIM","10","136","40","BR"</v>
      </c>
      <c r="G344" s="3">
        <v>44495</v>
      </c>
      <c r="H344" t="str">
        <f>"Olivia Maersk"</f>
        <v>Olivia Maersk</v>
      </c>
      <c r="I344" t="str">
        <f>"136"</f>
        <v>136</v>
      </c>
    </row>
    <row r="345" spans="1:9" x14ac:dyDescent="0.3">
      <c r="A345" t="s">
        <v>14</v>
      </c>
      <c r="D345" s="1" t="str">
        <f t="shared" si="22"/>
        <v>Philadelphia, PA</v>
      </c>
      <c r="F345" s="1" t="str">
        <f>"""BC Live Database"",""Gurrentz"",""50013"",""20"",""PHIL"",""1"",""OLIM"",""10"",""136"",""40"",""NZ"""</f>
        <v>"BC Live Database","Gurrentz","50013","20","PHIL","1","OLIM","10","136","40","NZ"</v>
      </c>
      <c r="G345" s="3">
        <v>44495</v>
      </c>
      <c r="H345" t="str">
        <f>"Olivia Maersk"</f>
        <v>Olivia Maersk</v>
      </c>
      <c r="I345" t="str">
        <f>"136"</f>
        <v>136</v>
      </c>
    </row>
    <row r="346" spans="1:9" x14ac:dyDescent="0.3">
      <c r="A346" t="s">
        <v>14</v>
      </c>
      <c r="D346" s="1" t="str">
        <f t="shared" si="22"/>
        <v>Philadelphia, PA</v>
      </c>
      <c r="F346" s="1" t="str">
        <f>"""BC Live Database"",""Gurrentz"",""50013"",""20"",""PHIL"",""1"",""LOJA"",""10"",""091"",""40"",""AR"""</f>
        <v>"BC Live Database","Gurrentz","50013","20","PHIL","1","LOJA","10","091","40","AR"</v>
      </c>
      <c r="G346" s="3">
        <v>44496</v>
      </c>
      <c r="H346" t="str">
        <f>"Log-In Jatoba"</f>
        <v>Log-In Jatoba</v>
      </c>
      <c r="I346" t="str">
        <f>"091"</f>
        <v>091</v>
      </c>
    </row>
    <row r="347" spans="1:9" x14ac:dyDescent="0.3">
      <c r="A347" t="s">
        <v>14</v>
      </c>
      <c r="D347" s="1" t="str">
        <f t="shared" si="22"/>
        <v>Philadelphia, PA</v>
      </c>
      <c r="F347" s="1" t="str">
        <f>"""BC Live Database"",""Gurrentz"",""50013"",""20"",""PHIL"",""1"",""NOPA"",""10"",""1534"",""40"",""NZ"""</f>
        <v>"BC Live Database","Gurrentz","50013","20","PHIL","1","NOPA","10","1534","40","NZ"</v>
      </c>
      <c r="G347" s="3">
        <v>44498</v>
      </c>
      <c r="H347" t="str">
        <f>"Nordpacific"</f>
        <v>Nordpacific</v>
      </c>
      <c r="I347" t="str">
        <f>"1534"</f>
        <v>1534</v>
      </c>
    </row>
    <row r="348" spans="1:9" x14ac:dyDescent="0.3">
      <c r="A348" t="s">
        <v>14</v>
      </c>
      <c r="D348" s="1" t="str">
        <f t="shared" si="22"/>
        <v>Philadelphia, PA</v>
      </c>
      <c r="F348" s="1" t="str">
        <f>"""BC Live Database"",""Gurrentz"",""50013"",""20"",""PHIL"",""1"",""CASA"",""10"",""138"",""40"",""UY"""</f>
        <v>"BC Live Database","Gurrentz","50013","20","PHIL","1","CASA","10","138","40","UY"</v>
      </c>
      <c r="G348" s="3">
        <v>44499</v>
      </c>
      <c r="H348" t="str">
        <f>"Cap San Augustine"</f>
        <v>Cap San Augustine</v>
      </c>
      <c r="I348" t="str">
        <f>"138"</f>
        <v>138</v>
      </c>
    </row>
    <row r="349" spans="1:9" x14ac:dyDescent="0.3">
      <c r="A349" t="s">
        <v>14</v>
      </c>
      <c r="D349" s="1" t="str">
        <f t="shared" si="22"/>
        <v>Philadelphia, PA</v>
      </c>
      <c r="F349" s="1" t="str">
        <f>"""BC Live Database"",""Gurrentz"",""50013"",""20"",""PHIL"",""1"",""MAKA"",""10"",""139"",""40"",""BR"""</f>
        <v>"BC Live Database","Gurrentz","50013","20","PHIL","1","MAKA","10","139","40","BR"</v>
      </c>
      <c r="G349" s="3">
        <v>44499</v>
      </c>
      <c r="H349" t="str">
        <f>"Maersk Karachi"</f>
        <v>Maersk Karachi</v>
      </c>
      <c r="I349" t="str">
        <f>"139"</f>
        <v>139</v>
      </c>
    </row>
    <row r="350" spans="1:9" x14ac:dyDescent="0.3">
      <c r="A350" t="s">
        <v>14</v>
      </c>
      <c r="D350" s="1" t="str">
        <f t="shared" si="22"/>
        <v>Philadelphia, PA</v>
      </c>
      <c r="F350" s="1" t="str">
        <f>"""BC Live Database"",""Gurrentz"",""50013"",""20"",""PHIL"",""1"",""GRFO"",""10"",""044"",""40"",""NI"""</f>
        <v>"BC Live Database","Gurrentz","50013","20","PHIL","1","GRFO","10","044","40","NI"</v>
      </c>
      <c r="G350" s="3">
        <v>44501</v>
      </c>
      <c r="H350" t="str">
        <f>"Green Forest"</f>
        <v>Green Forest</v>
      </c>
      <c r="I350" t="str">
        <f>"044"</f>
        <v>044</v>
      </c>
    </row>
    <row r="351" spans="1:9" x14ac:dyDescent="0.3">
      <c r="A351" t="s">
        <v>14</v>
      </c>
      <c r="D351" s="1" t="str">
        <f t="shared" si="22"/>
        <v>Philadelphia, PA</v>
      </c>
      <c r="F351" s="1" t="str">
        <f>"""BC Live Database"",""Gurrentz"",""50013"",""20"",""PHIL"",""1"",""SPSH"",""10"",""137"",""40"",""AU"""</f>
        <v>"BC Live Database","Gurrentz","50013","20","PHIL","1","SPSH","10","137","40","AU"</v>
      </c>
      <c r="G351" s="3">
        <v>44502</v>
      </c>
      <c r="H351" t="str">
        <f>"Spirit of Shanghai"</f>
        <v>Spirit of Shanghai</v>
      </c>
      <c r="I351" t="str">
        <f>"137"</f>
        <v>137</v>
      </c>
    </row>
    <row r="352" spans="1:9" x14ac:dyDescent="0.3">
      <c r="A352" t="s">
        <v>14</v>
      </c>
      <c r="D352" s="1" t="str">
        <f t="shared" si="22"/>
        <v>Philadelphia, PA</v>
      </c>
      <c r="F352" s="1" t="str">
        <f>"""BC Live Database"",""Gurrentz"",""50013"",""20"",""PHIL"",""1"",""SPSH"",""10"",""137"",""40"",""NZ"""</f>
        <v>"BC Live Database","Gurrentz","50013","20","PHIL","1","SPSH","10","137","40","NZ"</v>
      </c>
      <c r="G352" s="3">
        <v>44502</v>
      </c>
      <c r="H352" t="str">
        <f>"Spirit of Shanghai"</f>
        <v>Spirit of Shanghai</v>
      </c>
      <c r="I352" t="str">
        <f>"137"</f>
        <v>137</v>
      </c>
    </row>
    <row r="353" spans="1:9" x14ac:dyDescent="0.3">
      <c r="A353" t="s">
        <v>14</v>
      </c>
      <c r="D353" s="1" t="str">
        <f t="shared" si="22"/>
        <v>Philadelphia, PA</v>
      </c>
      <c r="F353" s="1" t="str">
        <f>"""BC Live Database"",""Gurrentz"",""50013"",""20"",""PHIL"",""1"",""SAAL"",""10"",""143"",""40"",""NI"""</f>
        <v>"BC Live Database","Gurrentz","50013","20","PHIL","1","SAAL","10","143","40","NI"</v>
      </c>
      <c r="G353" s="3">
        <v>44508</v>
      </c>
      <c r="H353" t="str">
        <f>"San Alberto"</f>
        <v>San Alberto</v>
      </c>
      <c r="I353" t="str">
        <f>"143"</f>
        <v>143</v>
      </c>
    </row>
    <row r="354" spans="1:9" x14ac:dyDescent="0.3">
      <c r="A354" t="s">
        <v>14</v>
      </c>
      <c r="D354" s="1" t="str">
        <f t="shared" si="22"/>
        <v>Philadelphia, PA</v>
      </c>
      <c r="F354" s="1" t="str">
        <f>"""BC Live Database"",""Gurrentz"",""50013"",""20"",""PHIL"",""1"",""MAIP"",""10"",""140"",""40"",""AR"""</f>
        <v>"BC Live Database","Gurrentz","50013","20","PHIL","1","MAIP","10","140","40","AR"</v>
      </c>
      <c r="G354" s="3">
        <v>44509</v>
      </c>
      <c r="H354" t="str">
        <f>"Maipo"</f>
        <v>Maipo</v>
      </c>
      <c r="I354" t="str">
        <f>"140"</f>
        <v>140</v>
      </c>
    </row>
    <row r="355" spans="1:9" x14ac:dyDescent="0.3">
      <c r="A355" t="s">
        <v>14</v>
      </c>
      <c r="D355" s="1" t="str">
        <f t="shared" si="22"/>
        <v>Philadelphia, PA</v>
      </c>
      <c r="F355" s="1" t="str">
        <f>"""BC Live Database"",""Gurrentz"",""50013"",""20"",""PHIL"",""1"",""SABA"",""10"",""139"",""40"",""AU"""</f>
        <v>"BC Live Database","Gurrentz","50013","20","PHIL","1","SABA","10","139","40","AU"</v>
      </c>
      <c r="G355" s="3">
        <v>44509</v>
      </c>
      <c r="H355" t="str">
        <f>"Safemarine Bayette"</f>
        <v>Safemarine Bayette</v>
      </c>
      <c r="I355" t="str">
        <f>"139"</f>
        <v>139</v>
      </c>
    </row>
    <row r="356" spans="1:9" x14ac:dyDescent="0.3">
      <c r="A356" t="s">
        <v>14</v>
      </c>
      <c r="D356" s="1" t="str">
        <f t="shared" si="22"/>
        <v>Philadelphia, PA</v>
      </c>
      <c r="F356" s="1" t="str">
        <f>"""BC Live Database"",""Gurrentz"",""50013"",""20"",""PHIL"",""1"",""SABA"",""10"",""139"",""40"",""NZ"""</f>
        <v>"BC Live Database","Gurrentz","50013","20","PHIL","1","SABA","10","139","40","NZ"</v>
      </c>
      <c r="G356" s="3">
        <v>44509</v>
      </c>
      <c r="H356" t="str">
        <f>"Safemarine Bayette"</f>
        <v>Safemarine Bayette</v>
      </c>
      <c r="I356" t="str">
        <f>"139"</f>
        <v>139</v>
      </c>
    </row>
    <row r="357" spans="1:9" x14ac:dyDescent="0.3">
      <c r="A357" t="s">
        <v>14</v>
      </c>
      <c r="D357" s="1" t="str">
        <f t="shared" si="22"/>
        <v>Philadelphia, PA</v>
      </c>
      <c r="F357" s="1" t="str">
        <f>"""BC Live Database"",""Gurrentz"",""50013"",""20"",""PHIL"",""1"",""SABA"",""10"",""139"",""40"",""UY"""</f>
        <v>"BC Live Database","Gurrentz","50013","20","PHIL","1","SABA","10","139","40","UY"</v>
      </c>
      <c r="G357" s="3">
        <v>44509</v>
      </c>
      <c r="H357" t="str">
        <f>"Safemarine Bayette"</f>
        <v>Safemarine Bayette</v>
      </c>
      <c r="I357" t="str">
        <f>"139"</f>
        <v>139</v>
      </c>
    </row>
    <row r="358" spans="1:9" x14ac:dyDescent="0.3">
      <c r="A358" t="s">
        <v>14</v>
      </c>
      <c r="D358" s="1" t="str">
        <f t="shared" si="22"/>
        <v>Philadelphia, PA</v>
      </c>
      <c r="F358" s="1" t="str">
        <f>"""BC Live Database"",""Gurrentz"",""50013"",""20"",""PHIL"",""1"",""POSK"",""10"",""141"",""40"",""BR"""</f>
        <v>"BC Live Database","Gurrentz","50013","20","PHIL","1","POSK","10","141","40","BR"</v>
      </c>
      <c r="G358" s="3">
        <v>44511</v>
      </c>
      <c r="H358" t="str">
        <f>"Pomerenia Sky"</f>
        <v>Pomerenia Sky</v>
      </c>
      <c r="I358" t="str">
        <f>"141"</f>
        <v>141</v>
      </c>
    </row>
    <row r="359" spans="1:9" x14ac:dyDescent="0.3">
      <c r="A359" t="s">
        <v>14</v>
      </c>
      <c r="D359" s="1" t="str">
        <f t="shared" si="22"/>
        <v>Philadelphia, PA</v>
      </c>
      <c r="F359" s="1" t="str">
        <f>"""BC Live Database"",""Gurrentz"",""50013"",""20"",""PHIL"",""1"",""MSME"",""10"",""143"",""40"",""AR"""</f>
        <v>"BC Live Database","Gurrentz","50013","20","PHIL","1","MSME","10","143","40","AR"</v>
      </c>
      <c r="G359" s="3">
        <v>44512</v>
      </c>
      <c r="H359" t="str">
        <f>"MSC Mediterranean"</f>
        <v>MSC Mediterranean</v>
      </c>
      <c r="I359" t="str">
        <f>"143"</f>
        <v>143</v>
      </c>
    </row>
    <row r="360" spans="1:9" x14ac:dyDescent="0.3">
      <c r="A360" t="s">
        <v>14</v>
      </c>
      <c r="D360" s="1" t="str">
        <f t="shared" si="22"/>
        <v>Philadelphia, PA</v>
      </c>
      <c r="F360" s="1" t="str">
        <f>"""BC Live Database"",""Gurrentz"",""50013"",""20"",""PHIL"",""1"",""MEMP"",""10"",""141"",""40"",""BR"""</f>
        <v>"BC Live Database","Gurrentz","50013","20","PHIL","1","MEMP","10","141","40","BR"</v>
      </c>
      <c r="G360" s="3">
        <v>44514</v>
      </c>
      <c r="H360" t="str">
        <f>"Maesrk Memphis"</f>
        <v>Maesrk Memphis</v>
      </c>
      <c r="I360" t="str">
        <f>"141"</f>
        <v>141</v>
      </c>
    </row>
    <row r="361" spans="1:9" x14ac:dyDescent="0.3">
      <c r="A361" t="s">
        <v>14</v>
      </c>
      <c r="D361" s="1" t="str">
        <f t="shared" si="22"/>
        <v>Philadelphia, PA</v>
      </c>
      <c r="F361" s="1" t="str">
        <f>"""BC Live Database"",""Gurrentz"",""50013"",""20"",""PHIL"",""1"",""MARI"",""10"",""1533"",""40"",""AU"""</f>
        <v>"BC Live Database","Gurrentz","50013","20","PHIL","1","MARI","10","1533","40","AU"</v>
      </c>
      <c r="G361" s="3">
        <v>44515</v>
      </c>
      <c r="H361" t="str">
        <f>"Mariner"</f>
        <v>Mariner</v>
      </c>
      <c r="I361" t="str">
        <f>"1533"</f>
        <v>1533</v>
      </c>
    </row>
    <row r="362" spans="1:9" x14ac:dyDescent="0.3">
      <c r="A362" t="s">
        <v>14</v>
      </c>
      <c r="D362" s="1" t="str">
        <f t="shared" si="22"/>
        <v>Philadelphia, PA</v>
      </c>
      <c r="F362" s="1" t="str">
        <f>"""BC Live Database"",""Gurrentz"",""50013"",""20"",""PHIL"",""1"",""MARI"",""10"",""1533"",""40"",""NZ"""</f>
        <v>"BC Live Database","Gurrentz","50013","20","PHIL","1","MARI","10","1533","40","NZ"</v>
      </c>
      <c r="G362" s="3">
        <v>44515</v>
      </c>
      <c r="H362" t="str">
        <f>"Mariner"</f>
        <v>Mariner</v>
      </c>
      <c r="I362" t="str">
        <f>"1533"</f>
        <v>1533</v>
      </c>
    </row>
    <row r="363" spans="1:9" x14ac:dyDescent="0.3">
      <c r="A363" t="s">
        <v>14</v>
      </c>
      <c r="D363" s="1" t="str">
        <f t="shared" si="22"/>
        <v>Philadelphia, PA</v>
      </c>
      <c r="F363" s="1" t="str">
        <f>"""BC Live Database"",""Gurrentz"",""50013"",""20"",""PHIL"",""1"",""MSTO"",""10"",""135"",""40"",""AU"""</f>
        <v>"BC Live Database","Gurrentz","50013","20","PHIL","1","MSTO","10","135","40","AU"</v>
      </c>
      <c r="G363" s="3">
        <v>44515</v>
      </c>
      <c r="H363" t="str">
        <f>"MSC Toronto"</f>
        <v>MSC Toronto</v>
      </c>
      <c r="I363" t="str">
        <f>"135"</f>
        <v>135</v>
      </c>
    </row>
    <row r="364" spans="1:9" x14ac:dyDescent="0.3">
      <c r="A364" t="s">
        <v>14</v>
      </c>
      <c r="D364" s="1" t="str">
        <f t="shared" si="22"/>
        <v>Philadelphia, PA</v>
      </c>
      <c r="F364" s="1" t="str">
        <f>"""BC Live Database"",""Gurrentz"",""50013"",""20"",""PHIL"",""1"",""MSAN"",""10"",""142"",""40"",""AU"""</f>
        <v>"BC Live Database","Gurrentz","50013","20","PHIL","1","MSAN","10","142","40","AU"</v>
      </c>
      <c r="G364" s="3">
        <v>44516</v>
      </c>
      <c r="H364" t="str">
        <f>"MSC ANISHA"</f>
        <v>MSC ANISHA</v>
      </c>
      <c r="I364" t="str">
        <f>"142"</f>
        <v>142</v>
      </c>
    </row>
    <row r="365" spans="1:9" x14ac:dyDescent="0.3">
      <c r="A365" t="s">
        <v>14</v>
      </c>
      <c r="D365" s="1" t="str">
        <f t="shared" si="22"/>
        <v>Philadelphia, PA</v>
      </c>
      <c r="F365" s="1" t="str">
        <f>"""BC Live Database"",""Gurrentz"",""50013"",""20"",""PHIL"",""1"",""PAUL"",""10"",""018"",""40"",""NI"""</f>
        <v>"BC Live Database","Gurrentz","50013","20","PHIL","1","PAUL","10","018","40","NI"</v>
      </c>
      <c r="G365" s="3">
        <v>44519</v>
      </c>
      <c r="H365" t="str">
        <f>"AS Pauline"</f>
        <v>AS Pauline</v>
      </c>
      <c r="I365" t="str">
        <f>"018"</f>
        <v>018</v>
      </c>
    </row>
    <row r="366" spans="1:9" x14ac:dyDescent="0.3">
      <c r="A366" t="s">
        <v>14</v>
      </c>
      <c r="D366" s="1" t="str">
        <f t="shared" si="22"/>
        <v>Philadelphia, PA</v>
      </c>
      <c r="F366" s="1" t="str">
        <f>"""BC Live Database"",""Gurrentz"",""50013"",""20"",""PHIL"",""1"",""SPSY"",""10"",""140"",""40"",""AU"""</f>
        <v>"BC Live Database","Gurrentz","50013","20","PHIL","1","SPSY","10","140","40","AU"</v>
      </c>
      <c r="G366" s="3">
        <v>44520</v>
      </c>
      <c r="H366" t="str">
        <f>"Spirit of Sydney"</f>
        <v>Spirit of Sydney</v>
      </c>
      <c r="I366" t="str">
        <f>"140"</f>
        <v>140</v>
      </c>
    </row>
    <row r="367" spans="1:9" x14ac:dyDescent="0.3">
      <c r="A367" t="s">
        <v>14</v>
      </c>
      <c r="D367" s="1" t="str">
        <f t="shared" si="22"/>
        <v>Philadelphia, PA</v>
      </c>
      <c r="F367" s="1" t="str">
        <f>"""BC Live Database"",""Gurrentz"",""50013"",""20"",""PHIL"",""1"",""SPSY"",""10"",""140"",""40"",""BR"""</f>
        <v>"BC Live Database","Gurrentz","50013","20","PHIL","1","SPSY","10","140","40","BR"</v>
      </c>
      <c r="G367" s="3">
        <v>44520</v>
      </c>
      <c r="H367" t="str">
        <f>"Spirit of Sydney"</f>
        <v>Spirit of Sydney</v>
      </c>
      <c r="I367" t="str">
        <f>"140"</f>
        <v>140</v>
      </c>
    </row>
    <row r="368" spans="1:9" x14ac:dyDescent="0.3">
      <c r="A368" t="s">
        <v>14</v>
      </c>
      <c r="D368" s="1" t="str">
        <f t="shared" si="22"/>
        <v>Philadelphia, PA</v>
      </c>
      <c r="F368" s="1" t="str">
        <f>"""BC Live Database"",""Gurrentz"",""50013"",""20"",""PHIL"",""1"",""SPSY"",""10"",""140"",""40"",""NZ"""</f>
        <v>"BC Live Database","Gurrentz","50013","20","PHIL","1","SPSY","10","140","40","NZ"</v>
      </c>
      <c r="G368" s="3">
        <v>44520</v>
      </c>
      <c r="H368" t="str">
        <f>"Spirit of Sydney"</f>
        <v>Spirit of Sydney</v>
      </c>
      <c r="I368" t="str">
        <f>"140"</f>
        <v>140</v>
      </c>
    </row>
    <row r="369" spans="1:9" x14ac:dyDescent="0.3">
      <c r="A369" t="s">
        <v>14</v>
      </c>
      <c r="D369" s="1" t="str">
        <f t="shared" si="22"/>
        <v>Philadelphia, PA</v>
      </c>
      <c r="F369" s="1" t="str">
        <f>"""BC Live Database"",""Gurrentz"",""50013"",""20"",""PHIL"",""1"",""GALA"",""10"",""145"",""40"",""NI"""</f>
        <v>"BC Live Database","Gurrentz","50013","20","PHIL","1","GALA","10","145","40","NI"</v>
      </c>
      <c r="G369" s="3">
        <v>44522</v>
      </c>
      <c r="H369" t="str">
        <f>"Galani"</f>
        <v>Galani</v>
      </c>
      <c r="I369" t="str">
        <f>"145"</f>
        <v>145</v>
      </c>
    </row>
    <row r="370" spans="1:9" x14ac:dyDescent="0.3">
      <c r="A370" t="s">
        <v>14</v>
      </c>
      <c r="D370" s="1" t="str">
        <f t="shared" si="22"/>
        <v>Philadelphia, PA</v>
      </c>
      <c r="F370" s="1" t="str">
        <f>"""BC Live Database"",""Gurrentz"",""50013"",""20"",""PHIL"",""1"",""MEHU"",""10"",""143"",""40"",""BR"""</f>
        <v>"BC Live Database","Gurrentz","50013","20","PHIL","1","MEHU","10","143","40","BR"</v>
      </c>
      <c r="G370" s="3">
        <v>44525</v>
      </c>
      <c r="H370" t="str">
        <f>"Mehuin "</f>
        <v xml:space="preserve">Mehuin </v>
      </c>
      <c r="I370" t="str">
        <f>"143"</f>
        <v>143</v>
      </c>
    </row>
    <row r="371" spans="1:9" x14ac:dyDescent="0.3">
      <c r="A371" t="s">
        <v>14</v>
      </c>
      <c r="D371" s="1" t="str">
        <f t="shared" si="22"/>
        <v>Philadelphia, PA</v>
      </c>
      <c r="F371" s="1" t="str">
        <f>"""BC Live Database"",""Gurrentz"",""50013"",""20"",""PHIL"",""1"",""MARU"",""10"",""1534"",""40"",""AU"""</f>
        <v>"BC Live Database","Gurrentz","50013","20","PHIL","1","MARU","10","1534","40","AU"</v>
      </c>
      <c r="G371" s="3">
        <v>44526</v>
      </c>
      <c r="H371" t="str">
        <f>"Marius"</f>
        <v>Marius</v>
      </c>
      <c r="I371" t="str">
        <f>"1534"</f>
        <v>1534</v>
      </c>
    </row>
    <row r="372" spans="1:9" x14ac:dyDescent="0.3">
      <c r="A372" t="s">
        <v>14</v>
      </c>
      <c r="D372" s="1" t="str">
        <f t="shared" si="22"/>
        <v>Philadelphia, PA</v>
      </c>
      <c r="F372" s="1" t="str">
        <f>"""BC Live Database"",""Gurrentz"",""50013"",""20"",""PHIL"",""1"",""MARU"",""10"",""1534"",""40"",""NZ"""</f>
        <v>"BC Live Database","Gurrentz","50013","20","PHIL","1","MARU","10","1534","40","NZ"</v>
      </c>
      <c r="G372" s="3">
        <v>44526</v>
      </c>
      <c r="H372" t="str">
        <f>"Marius"</f>
        <v>Marius</v>
      </c>
      <c r="I372" t="str">
        <f>"1534"</f>
        <v>1534</v>
      </c>
    </row>
    <row r="373" spans="1:9" x14ac:dyDescent="0.3">
      <c r="A373" t="s">
        <v>14</v>
      </c>
      <c r="D373" s="1" t="str">
        <f t="shared" si="22"/>
        <v>Philadelphia, PA</v>
      </c>
      <c r="F373" s="1" t="str">
        <f>"""BC Live Database"",""Gurrentz"",""50013"",""20"",""PHIL"",""1"",""OLFM"",""10"",""141"",""40"",""AU"""</f>
        <v>"BC Live Database","Gurrentz","50013","20","PHIL","1","OLFM","10","141","40","AU"</v>
      </c>
      <c r="G373" s="3">
        <v>44527</v>
      </c>
      <c r="H373" t="str">
        <f>"Oluf Maersk"</f>
        <v>Oluf Maersk</v>
      </c>
      <c r="I373" t="str">
        <f>"141"</f>
        <v>141</v>
      </c>
    </row>
    <row r="374" spans="1:9" x14ac:dyDescent="0.3">
      <c r="A374" t="s">
        <v>14</v>
      </c>
      <c r="D374" s="1" t="str">
        <f t="shared" si="22"/>
        <v>Philadelphia, PA</v>
      </c>
      <c r="F374" s="1" t="str">
        <f>"""BC Live Database"",""Gurrentz"",""50013"",""20"",""PHIL"",""1"",""OLFM"",""10"",""141"",""40"",""NZ"""</f>
        <v>"BC Live Database","Gurrentz","50013","20","PHIL","1","OLFM","10","141","40","NZ"</v>
      </c>
      <c r="G374" s="3">
        <v>44527</v>
      </c>
      <c r="H374" t="str">
        <f>"Oluf Maersk"</f>
        <v>Oluf Maersk</v>
      </c>
      <c r="I374" t="str">
        <f>"141"</f>
        <v>141</v>
      </c>
    </row>
    <row r="375" spans="1:9" x14ac:dyDescent="0.3">
      <c r="A375" t="s">
        <v>14</v>
      </c>
      <c r="D375" s="1" t="str">
        <f t="shared" si="22"/>
        <v>Philadelphia, PA</v>
      </c>
      <c r="F375" s="1" t="str">
        <f>"""BC Live Database"",""Gurrentz"",""50013"",""20"",""PHIL"",""1"",""NYDI"",""10"",""136"",""40"",""BR"""</f>
        <v>"BC Live Database","Gurrentz","50013","20","PHIL","1","NYDI","10","136","40","BR"</v>
      </c>
      <c r="G375" s="3">
        <v>44528</v>
      </c>
      <c r="H375" t="str">
        <f>"NYK Diana"</f>
        <v>NYK Diana</v>
      </c>
      <c r="I375" t="str">
        <f>"136"</f>
        <v>136</v>
      </c>
    </row>
    <row r="376" spans="1:9" x14ac:dyDescent="0.3">
      <c r="A376" t="s">
        <v>14</v>
      </c>
      <c r="D376" s="1" t="str">
        <f t="shared" si="22"/>
        <v>Philadelphia, PA</v>
      </c>
      <c r="F376" s="1" t="str">
        <f>"""BC Live Database"",""Gurrentz"",""50013"",""20"",""PHIL"",""1"",""TEMP"",""10"",""2139"",""40"",""BR"""</f>
        <v>"BC Live Database","Gurrentz","50013","20","PHIL","1","TEMP","10","2139","40","BR"</v>
      </c>
      <c r="G376" s="3">
        <v>44528</v>
      </c>
      <c r="H376" t="str">
        <f>"Tempanos"</f>
        <v>Tempanos</v>
      </c>
      <c r="I376" t="str">
        <f>"2139"</f>
        <v>2139</v>
      </c>
    </row>
    <row r="377" spans="1:9" x14ac:dyDescent="0.3">
      <c r="A377" t="s">
        <v>14</v>
      </c>
      <c r="D377" s="1" t="str">
        <f t="shared" si="22"/>
        <v>Philadelphia, PA</v>
      </c>
      <c r="F377" s="1" t="str">
        <f>"""BC Live Database"",""Gurrentz"",""50013"",""20"",""PHIL"",""1"",""ASPT"",""10"",""039"",""40"",""NI"""</f>
        <v>"BC Live Database","Gurrentz","50013","20","PHIL","1","ASPT","10","039","40","NI"</v>
      </c>
      <c r="G377" s="3">
        <v>44529</v>
      </c>
      <c r="H377" t="str">
        <f>"AS Petra"</f>
        <v>AS Petra</v>
      </c>
      <c r="I377" t="str">
        <f>"039"</f>
        <v>039</v>
      </c>
    </row>
    <row r="378" spans="1:9" x14ac:dyDescent="0.3">
      <c r="A378" t="s">
        <v>14</v>
      </c>
      <c r="D378" s="1" t="str">
        <f t="shared" si="22"/>
        <v>Philadelphia, PA</v>
      </c>
      <c r="F378" s="1" t="str">
        <f>"""BC Live Database"",""Gurrentz"",""50013"",""20"",""PHIL"",""1"",""GRFO"",""10"",""46"",""40"",""NI"""</f>
        <v>"BC Live Database","Gurrentz","50013","20","PHIL","1","GRFO","10","46","40","NI"</v>
      </c>
      <c r="G378" s="3">
        <v>44529</v>
      </c>
      <c r="H378" t="str">
        <f>"Green Forest"</f>
        <v>Green Forest</v>
      </c>
      <c r="I378" t="str">
        <f>"46"</f>
        <v>46</v>
      </c>
    </row>
    <row r="379" spans="1:9" x14ac:dyDescent="0.3">
      <c r="A379" t="s">
        <v>14</v>
      </c>
      <c r="D379" s="1" t="str">
        <f t="shared" si="22"/>
        <v>Philadelphia, PA</v>
      </c>
      <c r="F379" s="1" t="str">
        <f>"""BC Live Database"",""Gurrentz"",""50013"",""20"",""PHIL"",""1"",""HASA"",""10"",""146"",""40"",""NZ"""</f>
        <v>"BC Live Database","Gurrentz","50013","20","PHIL","1","HASA","10","146","40","NZ"</v>
      </c>
      <c r="G379" s="3">
        <v>44529</v>
      </c>
      <c r="H379" t="str">
        <f>"Hansa Salzburg"</f>
        <v>Hansa Salzburg</v>
      </c>
      <c r="I379" t="str">
        <f>"146"</f>
        <v>146</v>
      </c>
    </row>
    <row r="380" spans="1:9" x14ac:dyDescent="0.3">
      <c r="A380" t="s">
        <v>14</v>
      </c>
      <c r="D380" s="1" t="str">
        <f t="shared" si="22"/>
        <v>Philadelphia, PA</v>
      </c>
      <c r="F380" s="1" t="str">
        <f>"""BC Live Database"",""Gurrentz"",""50013"",""20"",""PHIL"",""1"",""AGDI"",""10"",""142"",""40"",""UY"""</f>
        <v>"BC Live Database","Gurrentz","50013","20","PHIL","1","AGDI","10","142","40","UY"</v>
      </c>
      <c r="G380" s="3">
        <v>44533</v>
      </c>
      <c r="H380" t="str">
        <f>"Agios Dimitrios"</f>
        <v>Agios Dimitrios</v>
      </c>
      <c r="I380" t="str">
        <f>"142"</f>
        <v>142</v>
      </c>
    </row>
    <row r="381" spans="1:9" x14ac:dyDescent="0.3">
      <c r="A381" t="s">
        <v>14</v>
      </c>
      <c r="D381" s="1" t="str">
        <f t="shared" si="22"/>
        <v>Philadelphia, PA</v>
      </c>
      <c r="F381" s="1" t="str">
        <f>"""BC Live Database"",""Gurrentz"",""50013"",""20"",""PHIL"",""1"",""SPAU"",""10"",""142"",""40"",""AU"""</f>
        <v>"BC Live Database","Gurrentz","50013","20","PHIL","1","SPAU","10","142","40","AU"</v>
      </c>
      <c r="G381" s="3">
        <v>44534</v>
      </c>
      <c r="H381" t="str">
        <f>"Spirit of Auckland"</f>
        <v>Spirit of Auckland</v>
      </c>
      <c r="I381" t="str">
        <f>"142"</f>
        <v>142</v>
      </c>
    </row>
    <row r="382" spans="1:9" x14ac:dyDescent="0.3">
      <c r="A382" t="s">
        <v>14</v>
      </c>
      <c r="D382" s="1" t="str">
        <f t="shared" si="22"/>
        <v>Philadelphia, PA</v>
      </c>
      <c r="F382" s="1" t="str">
        <f>"""BC Live Database"",""Gurrentz"",""50013"",""20"",""PHIL"",""1"",""SPAU"",""10"",""142"",""40"",""BR"""</f>
        <v>"BC Live Database","Gurrentz","50013","20","PHIL","1","SPAU","10","142","40","BR"</v>
      </c>
      <c r="G382" s="3">
        <v>44534</v>
      </c>
      <c r="H382" t="str">
        <f>"Spirit of Auckland"</f>
        <v>Spirit of Auckland</v>
      </c>
      <c r="I382" t="str">
        <f>"142"</f>
        <v>142</v>
      </c>
    </row>
    <row r="383" spans="1:9" x14ac:dyDescent="0.3">
      <c r="A383" t="s">
        <v>14</v>
      </c>
      <c r="D383" s="1" t="str">
        <f t="shared" si="22"/>
        <v>Philadelphia, PA</v>
      </c>
      <c r="F383" s="1" t="str">
        <f>"""BC Live Database"",""Gurrentz"",""50013"",""20"",""PHIL"",""1"",""SPAU"",""10"",""142"",""40"",""NZ"""</f>
        <v>"BC Live Database","Gurrentz","50013","20","PHIL","1","SPAU","10","142","40","NZ"</v>
      </c>
      <c r="G383" s="3">
        <v>44534</v>
      </c>
      <c r="H383" t="str">
        <f>"Spirit of Auckland"</f>
        <v>Spirit of Auckland</v>
      </c>
      <c r="I383" t="str">
        <f>"142"</f>
        <v>142</v>
      </c>
    </row>
    <row r="384" spans="1:9" x14ac:dyDescent="0.3">
      <c r="A384" t="s">
        <v>14</v>
      </c>
      <c r="D384" s="1" t="str">
        <f t="shared" si="22"/>
        <v>Philadelphia, PA</v>
      </c>
      <c r="F384" s="1" t="str">
        <f>"""BC Live Database"",""Gurrentz"",""50013"",""20"",""PHIL"",""1"",""ASPU"",""10"",""019"",""40"",""NI"""</f>
        <v>"BC Live Database","Gurrentz","50013","20","PHIL","1","ASPU","10","019","40","NI"</v>
      </c>
      <c r="G384" s="3">
        <v>44536</v>
      </c>
      <c r="H384" t="str">
        <f>"AS Pauline "</f>
        <v xml:space="preserve">AS Pauline </v>
      </c>
      <c r="I384" t="str">
        <f>"019"</f>
        <v>019</v>
      </c>
    </row>
    <row r="385" spans="1:9" x14ac:dyDescent="0.3">
      <c r="A385" t="s">
        <v>14</v>
      </c>
      <c r="D385" s="1" t="str">
        <f t="shared" si="22"/>
        <v>Philadelphia, PA</v>
      </c>
      <c r="F385" s="1" t="str">
        <f>"""BC Live Database"",""Gurrentz"",""50013"",""20"",""PHIL"",""1"",""MSOL"",""10"",""146"",""40"",""UY"""</f>
        <v>"BC Live Database","Gurrentz","50013","20","PHIL","1","MSOL","10","146","40","UY"</v>
      </c>
      <c r="G385" s="3">
        <v>44536</v>
      </c>
      <c r="H385" t="str">
        <f>"MSC Olia"</f>
        <v>MSC Olia</v>
      </c>
      <c r="I385" t="str">
        <f>"146"</f>
        <v>146</v>
      </c>
    </row>
    <row r="386" spans="1:9" x14ac:dyDescent="0.3">
      <c r="A386" t="s">
        <v>14</v>
      </c>
      <c r="D386" s="1" t="str">
        <f t="shared" si="22"/>
        <v>Philadelphia, PA</v>
      </c>
      <c r="F386" s="1" t="str">
        <f>"""BC Live Database"",""Gurrentz"",""50013"",""20"",""PHIL"",""1"",""PAUL"",""10"",""019"",""40"",""NI"""</f>
        <v>"BC Live Database","Gurrentz","50013","20","PHIL","1","PAUL","10","019","40","NI"</v>
      </c>
      <c r="G386" s="3">
        <v>44536</v>
      </c>
      <c r="H386" t="str">
        <f>"AS Pauline"</f>
        <v>AS Pauline</v>
      </c>
      <c r="I386" t="str">
        <f>"019"</f>
        <v>019</v>
      </c>
    </row>
    <row r="387" spans="1:9" x14ac:dyDescent="0.3">
      <c r="A387" t="s">
        <v>14</v>
      </c>
      <c r="D387" s="1" t="str">
        <f t="shared" si="22"/>
        <v>Philadelphia, PA</v>
      </c>
      <c r="F387" s="1" t="str">
        <f>"""BC Live Database"",""Gurrentz"",""50013"",""20"",""PHIL"",""1"",""SAAL"",""10"",""147"",""40"",""NI"""</f>
        <v>"BC Live Database","Gurrentz","50013","20","PHIL","1","SAAL","10","147","40","NI"</v>
      </c>
      <c r="G387" s="3">
        <v>44536</v>
      </c>
      <c r="H387" t="str">
        <f>"San Alberto"</f>
        <v>San Alberto</v>
      </c>
      <c r="I387" t="str">
        <f>"147"</f>
        <v>147</v>
      </c>
    </row>
    <row r="388" spans="1:9" x14ac:dyDescent="0.3">
      <c r="A388" t="s">
        <v>14</v>
      </c>
      <c r="D388" s="1" t="str">
        <f t="shared" si="22"/>
        <v>Philadelphia, PA</v>
      </c>
      <c r="F388" s="1" t="str">
        <f>"""BC Live Database"",""Gurrentz"",""50013"",""20"",""PHIL"",""1"",""OLGM"",""10"",""143"",""40"",""AU"""</f>
        <v>"BC Live Database","Gurrentz","50013","20","PHIL","1","OLGM","10","143","40","AU"</v>
      </c>
      <c r="G388" s="3">
        <v>44537</v>
      </c>
      <c r="H388" t="str">
        <f>"Olga Maersk"</f>
        <v>Olga Maersk</v>
      </c>
      <c r="I388" t="str">
        <f>"143"</f>
        <v>143</v>
      </c>
    </row>
    <row r="389" spans="1:9" x14ac:dyDescent="0.3">
      <c r="A389" t="s">
        <v>14</v>
      </c>
      <c r="D389" s="1" t="str">
        <f t="shared" si="22"/>
        <v>Philadelphia, PA</v>
      </c>
      <c r="F389" s="1" t="str">
        <f>"""BC Live Database"",""Gurrentz"",""50013"",""20"",""PHIL"",""1"",""OLGM"",""10"",""143"",""40"",""BR"""</f>
        <v>"BC Live Database","Gurrentz","50013","20","PHIL","1","OLGM","10","143","40","BR"</v>
      </c>
      <c r="G389" s="3">
        <v>44537</v>
      </c>
      <c r="H389" t="str">
        <f>"Olga Maersk"</f>
        <v>Olga Maersk</v>
      </c>
      <c r="I389" t="str">
        <f>"143"</f>
        <v>143</v>
      </c>
    </row>
    <row r="390" spans="1:9" x14ac:dyDescent="0.3">
      <c r="A390" t="s">
        <v>14</v>
      </c>
      <c r="D390" s="1" t="str">
        <f t="shared" si="22"/>
        <v>Philadelphia, PA</v>
      </c>
      <c r="F390" s="1" t="str">
        <f>"""BC Live Database"",""Gurrentz"",""50013"",""20"",""PHIL"",""1"",""OLGM"",""10"",""143"",""40"",""NZ"""</f>
        <v>"BC Live Database","Gurrentz","50013","20","PHIL","1","OLGM","10","143","40","NZ"</v>
      </c>
      <c r="G390" s="3">
        <v>44537</v>
      </c>
      <c r="H390" t="str">
        <f>"Olga Maersk"</f>
        <v>Olga Maersk</v>
      </c>
      <c r="I390" t="str">
        <f>"143"</f>
        <v>143</v>
      </c>
    </row>
    <row r="391" spans="1:9" x14ac:dyDescent="0.3">
      <c r="A391" t="s">
        <v>14</v>
      </c>
      <c r="D391" s="1" t="str">
        <f t="shared" si="22"/>
        <v>Philadelphia, PA</v>
      </c>
      <c r="F391" s="1" t="str">
        <f>"""BC Live Database"",""Gurrentz"",""50013"",""20"",""PHIL"",""1"",""ALSA"",""10"",""2021"",""40"",""IR"""</f>
        <v>"BC Live Database","Gurrentz","50013","20","PHIL","1","ALSA","10","2021","40","IR"</v>
      </c>
      <c r="G391" s="3">
        <v>44538</v>
      </c>
      <c r="H391" t="str">
        <f>"AL Safat"</f>
        <v>AL Safat</v>
      </c>
      <c r="I391" t="str">
        <f>"2021"</f>
        <v>2021</v>
      </c>
    </row>
    <row r="392" spans="1:9" x14ac:dyDescent="0.3">
      <c r="A392" t="s">
        <v>14</v>
      </c>
      <c r="D392" s="1" t="str">
        <f t="shared" si="22"/>
        <v>Philadelphia, PA</v>
      </c>
      <c r="F392" s="1" t="str">
        <f>"""BC Live Database"",""Gurrentz"",""50013"",""20"",""PHIL"",""1"",""MSVI"",""10"",""147"",""40"",""BR"""</f>
        <v>"BC Live Database","Gurrentz","50013","20","PHIL","1","MSVI","10","147","40","BR"</v>
      </c>
      <c r="G392" s="3">
        <v>44539</v>
      </c>
      <c r="H392" t="str">
        <f>"MSC Vigo"</f>
        <v>MSC Vigo</v>
      </c>
      <c r="I392" t="str">
        <f>"147"</f>
        <v>147</v>
      </c>
    </row>
    <row r="393" spans="1:9" x14ac:dyDescent="0.3">
      <c r="A393" t="s">
        <v>14</v>
      </c>
      <c r="D393" s="1" t="str">
        <f t="shared" si="22"/>
        <v>Philadelphia, PA</v>
      </c>
      <c r="F393" s="1" t="str">
        <f>"""BC Live Database"",""Gurrentz"",""50013"",""20"",""PHIL"",""1"",""NOMG"",""10"",""145"",""40"",""AR"""</f>
        <v>"BC Live Database","Gurrentz","50013","20","PHIL","1","NOMG","10","145","40","AR"</v>
      </c>
      <c r="G393" s="3">
        <v>44539</v>
      </c>
      <c r="H393" t="str">
        <f>"Northern Magnum"</f>
        <v>Northern Magnum</v>
      </c>
      <c r="I393" t="str">
        <f>"145"</f>
        <v>145</v>
      </c>
    </row>
    <row r="394" spans="1:9" x14ac:dyDescent="0.3">
      <c r="A394" t="s">
        <v>14</v>
      </c>
      <c r="D394" s="1" t="str">
        <f t="shared" si="22"/>
        <v>Philadelphia, PA</v>
      </c>
      <c r="F394" s="1" t="str">
        <f>"""BC Live Database"",""Gurrentz"",""50013"",""20"",""PHIL"",""1"",""NOMG"",""10"",""145"",""40"",""BR"""</f>
        <v>"BC Live Database","Gurrentz","50013","20","PHIL","1","NOMG","10","145","40","BR"</v>
      </c>
      <c r="G394" s="3">
        <v>44539</v>
      </c>
      <c r="H394" t="str">
        <f>"Northern Magnum"</f>
        <v>Northern Magnum</v>
      </c>
      <c r="I394" t="str">
        <f>"145"</f>
        <v>145</v>
      </c>
    </row>
    <row r="395" spans="1:9" x14ac:dyDescent="0.3">
      <c r="A395" t="s">
        <v>14</v>
      </c>
      <c r="D395" s="1" t="str">
        <f t="shared" si="22"/>
        <v>Philadelphia, PA</v>
      </c>
      <c r="F395" s="1" t="str">
        <f>"""BC Live Database"",""Gurrentz"",""50013"",""20"",""PHIL"",""1"",""NOMJ"",""10"",""144"",""40"",""BR"""</f>
        <v>"BC Live Database","Gurrentz","50013","20","PHIL","1","NOMJ","10","144","40","BR"</v>
      </c>
      <c r="G395" s="3">
        <v>44539</v>
      </c>
      <c r="H395" t="str">
        <f>"Northern Majestic"</f>
        <v>Northern Majestic</v>
      </c>
      <c r="I395" t="str">
        <f>"144"</f>
        <v>144</v>
      </c>
    </row>
    <row r="396" spans="1:9" x14ac:dyDescent="0.3">
      <c r="A396" t="s">
        <v>14</v>
      </c>
      <c r="D396" s="1" t="str">
        <f t="shared" si="22"/>
        <v>Philadelphia, PA</v>
      </c>
      <c r="F396" s="1" t="str">
        <f>"""BC Live Database"",""Gurrentz"",""50013"",""20"",""PHIL"",""1"",""MAJE"",""10"",""1535"",""40"",""AU"""</f>
        <v>"BC Live Database","Gurrentz","50013","20","PHIL","1","MAJE","10","1535","40","AU"</v>
      </c>
      <c r="G396" s="3">
        <v>44540</v>
      </c>
      <c r="H396" t="str">
        <f>"Majestic"</f>
        <v>Majestic</v>
      </c>
      <c r="I396" t="str">
        <f>"1535"</f>
        <v>1535</v>
      </c>
    </row>
    <row r="397" spans="1:9" x14ac:dyDescent="0.3">
      <c r="A397" t="s">
        <v>14</v>
      </c>
      <c r="D397" s="1" t="str">
        <f t="shared" si="22"/>
        <v>Philadelphia, PA</v>
      </c>
      <c r="F397" s="1" t="str">
        <f>"""BC Live Database"",""Gurrentz"",""50013"",""20"",""PHIL"",""1"",""MAJE"",""10"",""1535"",""40"",""NZ"""</f>
        <v>"BC Live Database","Gurrentz","50013","20","PHIL","1","MAJE","10","1535","40","NZ"</v>
      </c>
      <c r="G397" s="3">
        <v>44540</v>
      </c>
      <c r="H397" t="str">
        <f>"Majestic"</f>
        <v>Majestic</v>
      </c>
      <c r="I397" t="str">
        <f>"1535"</f>
        <v>1535</v>
      </c>
    </row>
    <row r="398" spans="1:9" x14ac:dyDescent="0.3">
      <c r="A398" t="s">
        <v>14</v>
      </c>
      <c r="D398" s="1" t="str">
        <f t="shared" si="22"/>
        <v>Philadelphia, PA</v>
      </c>
      <c r="F398" s="1" t="str">
        <f>"""BC Live Database"",""Gurrentz"",""50013"",""20"",""PHIL"",""1"",""GRFO"",""10"",""47"",""40"",""NI"""</f>
        <v>"BC Live Database","Gurrentz","50013","20","PHIL","1","GRFO","10","47","40","NI"</v>
      </c>
      <c r="G398" s="3">
        <v>44542</v>
      </c>
      <c r="H398" t="str">
        <f>"Green Forest"</f>
        <v>Green Forest</v>
      </c>
      <c r="I398" t="str">
        <f>"47"</f>
        <v>47</v>
      </c>
    </row>
    <row r="399" spans="1:9" x14ac:dyDescent="0.3">
      <c r="A399" t="s">
        <v>14</v>
      </c>
      <c r="D399" s="1" t="str">
        <f t="shared" si="22"/>
        <v>Philadelphia, PA</v>
      </c>
      <c r="F399" s="1" t="str">
        <f>"""BC Live Database"",""Gurrentz"",""50013"",""20"",""PHIL"",""1"",""SPME"",""10"",""144"",""40"",""AU"""</f>
        <v>"BC Live Database","Gurrentz","50013","20","PHIL","1","SPME","10","144","40","AU"</v>
      </c>
      <c r="G399" s="3">
        <v>44544</v>
      </c>
      <c r="H399" t="str">
        <f>"Spirit of Melbourne"</f>
        <v>Spirit of Melbourne</v>
      </c>
      <c r="I399" t="str">
        <f>"144"</f>
        <v>144</v>
      </c>
    </row>
    <row r="400" spans="1:9" x14ac:dyDescent="0.3">
      <c r="A400" t="s">
        <v>14</v>
      </c>
      <c r="D400" s="1" t="str">
        <f t="shared" si="22"/>
        <v>Philadelphia, PA</v>
      </c>
      <c r="F400" s="1" t="str">
        <f>"""BC Live Database"",""Gurrentz"",""50013"",""20"",""PHIL"",""1"",""SPME"",""10"",""144"",""40"",""BR"""</f>
        <v>"BC Live Database","Gurrentz","50013","20","PHIL","1","SPME","10","144","40","BR"</v>
      </c>
      <c r="G400" s="3">
        <v>44544</v>
      </c>
      <c r="H400" t="str">
        <f>"Spirit of Melbourne"</f>
        <v>Spirit of Melbourne</v>
      </c>
      <c r="I400" t="str">
        <f>"144"</f>
        <v>144</v>
      </c>
    </row>
    <row r="401" spans="1:9" x14ac:dyDescent="0.3">
      <c r="A401" t="s">
        <v>14</v>
      </c>
      <c r="D401" s="1" t="str">
        <f t="shared" ref="D401:D464" si="23">D400</f>
        <v>Philadelphia, PA</v>
      </c>
      <c r="F401" s="1" t="str">
        <f>"""BC Live Database"",""Gurrentz"",""50013"",""20"",""PHIL"",""1"",""SPME"",""10"",""144"",""40"",""NZ"""</f>
        <v>"BC Live Database","Gurrentz","50013","20","PHIL","1","SPME","10","144","40","NZ"</v>
      </c>
      <c r="G401" s="3">
        <v>44544</v>
      </c>
      <c r="H401" t="str">
        <f>"Spirit of Melbourne"</f>
        <v>Spirit of Melbourne</v>
      </c>
      <c r="I401" t="str">
        <f>"144"</f>
        <v>144</v>
      </c>
    </row>
    <row r="402" spans="1:9" x14ac:dyDescent="0.3">
      <c r="A402" t="s">
        <v>14</v>
      </c>
      <c r="D402" s="1" t="str">
        <f t="shared" si="23"/>
        <v>Philadelphia, PA</v>
      </c>
      <c r="F402" s="1" t="str">
        <f>"""BC Live Database"",""Gurrentz"",""50013"",""20"",""PHIL"",""1"",""MAKA"",""10"",""146"",""40"",""BR"""</f>
        <v>"BC Live Database","Gurrentz","50013","20","PHIL","1","MAKA","10","146","40","BR"</v>
      </c>
      <c r="G402" s="3">
        <v>44546</v>
      </c>
      <c r="H402" t="str">
        <f>"Maersk Karachi"</f>
        <v>Maersk Karachi</v>
      </c>
      <c r="I402" t="str">
        <f>"146"</f>
        <v>146</v>
      </c>
    </row>
    <row r="403" spans="1:9" x14ac:dyDescent="0.3">
      <c r="A403" t="s">
        <v>14</v>
      </c>
      <c r="D403" s="1" t="str">
        <f t="shared" si="23"/>
        <v>Philadelphia, PA</v>
      </c>
      <c r="F403" s="1" t="str">
        <f>"""BC Live Database"",""Gurrentz"",""50013"",""20"",""PHIL"",""1"",""MSME"",""10"",""148"",""40"",""BR"""</f>
        <v>"BC Live Database","Gurrentz","50013","20","PHIL","1","MSME","10","148","40","BR"</v>
      </c>
      <c r="G403" s="3">
        <v>44547</v>
      </c>
      <c r="H403" t="str">
        <f>"MSC Mediterranean"</f>
        <v>MSC Mediterranean</v>
      </c>
      <c r="I403" t="str">
        <f>"148"</f>
        <v>148</v>
      </c>
    </row>
    <row r="404" spans="1:9" x14ac:dyDescent="0.3">
      <c r="A404" t="s">
        <v>14</v>
      </c>
      <c r="D404" s="1" t="str">
        <f t="shared" si="23"/>
        <v>Philadelphia, PA</v>
      </c>
      <c r="F404" s="1" t="str">
        <f>"""BC Live Database"",""Gurrentz"",""50013"",""20"",""PHIL"",""1"",""MSME"",""10"",""148"",""40"",""UY"""</f>
        <v>"BC Live Database","Gurrentz","50013","20","PHIL","1","MSME","10","148","40","UY"</v>
      </c>
      <c r="G404" s="3">
        <v>44547</v>
      </c>
      <c r="H404" t="str">
        <f>"MSC Mediterranean"</f>
        <v>MSC Mediterranean</v>
      </c>
      <c r="I404" t="str">
        <f>"148"</f>
        <v>148</v>
      </c>
    </row>
    <row r="405" spans="1:9" x14ac:dyDescent="0.3">
      <c r="A405" t="s">
        <v>14</v>
      </c>
      <c r="D405" s="1" t="str">
        <f t="shared" si="23"/>
        <v>Philadelphia, PA</v>
      </c>
      <c r="F405" s="1" t="str">
        <f>"""BC Live Database"",""Gurrentz"",""50013"",""20"",""PHIL"",""1"",""POSK"",""10"",""144"",""40"",""UY"""</f>
        <v>"BC Live Database","Gurrentz","50013","20","PHIL","1","POSK","10","144","40","UY"</v>
      </c>
      <c r="G405" s="3">
        <v>44547</v>
      </c>
      <c r="H405" t="str">
        <f>"Pomerenia Sky"</f>
        <v>Pomerenia Sky</v>
      </c>
      <c r="I405" t="str">
        <f>"144"</f>
        <v>144</v>
      </c>
    </row>
    <row r="406" spans="1:9" x14ac:dyDescent="0.3">
      <c r="A406" t="s">
        <v>14</v>
      </c>
      <c r="D406" s="1" t="str">
        <f t="shared" si="23"/>
        <v>Philadelphia, PA</v>
      </c>
      <c r="F406" s="1" t="str">
        <f>"""BC Live Database"",""Gurrentz"",""50013"",""20"",""PHIL"",""1"",""GALA"",""10"",""149"",""40"",""NI"""</f>
        <v>"BC Live Database","Gurrentz","50013","20","PHIL","1","GALA","10","149","40","NI"</v>
      </c>
      <c r="G406" s="3">
        <v>44550</v>
      </c>
      <c r="H406" t="str">
        <f>"Galani"</f>
        <v>Galani</v>
      </c>
      <c r="I406" t="str">
        <f>"149"</f>
        <v>149</v>
      </c>
    </row>
    <row r="407" spans="1:9" x14ac:dyDescent="0.3">
      <c r="A407" t="s">
        <v>14</v>
      </c>
      <c r="D407" s="1" t="str">
        <f t="shared" si="23"/>
        <v>Philadelphia, PA</v>
      </c>
      <c r="F407" s="1" t="str">
        <f>"""BC Live Database"",""Gurrentz"",""50013"",""20"",""PHIL"",""1"",""GRST"",""10"",""48"",""40"",""NI"""</f>
        <v>"BC Live Database","Gurrentz","50013","20","PHIL","1","GRST","10","48","40","NI"</v>
      </c>
      <c r="G407" s="3">
        <v>44550</v>
      </c>
      <c r="H407" t="str">
        <f>"Green Star"</f>
        <v>Green Star</v>
      </c>
      <c r="I407" t="str">
        <f>"48"</f>
        <v>48</v>
      </c>
    </row>
    <row r="408" spans="1:9" x14ac:dyDescent="0.3">
      <c r="A408" t="s">
        <v>14</v>
      </c>
      <c r="D408" s="1" t="str">
        <f t="shared" si="23"/>
        <v>Philadelphia, PA</v>
      </c>
      <c r="F408" s="1" t="str">
        <f>"""BC Live Database"",""Gurrentz"",""50013"",""20"",""PHIL"",""1"",""MABI"",""10"",""145"",""40"",""AU"""</f>
        <v>"BC Live Database","Gurrentz","50013","20","PHIL","1","MABI","10","145","40","AU"</v>
      </c>
      <c r="G408" s="3">
        <v>44552</v>
      </c>
      <c r="H408" t="str">
        <f>"Maersk Bintan"</f>
        <v>Maersk Bintan</v>
      </c>
      <c r="I408" t="str">
        <f>"145"</f>
        <v>145</v>
      </c>
    </row>
    <row r="409" spans="1:9" x14ac:dyDescent="0.3">
      <c r="A409" t="s">
        <v>14</v>
      </c>
      <c r="D409" s="1" t="str">
        <f t="shared" si="23"/>
        <v>Philadelphia, PA</v>
      </c>
      <c r="F409" s="1" t="str">
        <f>"""BC Live Database"",""Gurrentz"",""50013"",""20"",""PHIL"",""1"",""MABI"",""10"",""145"",""40"",""NZ"""</f>
        <v>"BC Live Database","Gurrentz","50013","20","PHIL","1","MABI","10","145","40","NZ"</v>
      </c>
      <c r="G409" s="3">
        <v>44552</v>
      </c>
      <c r="H409" t="str">
        <f>"Maersk Bintan"</f>
        <v>Maersk Bintan</v>
      </c>
      <c r="I409" t="str">
        <f>"145"</f>
        <v>145</v>
      </c>
    </row>
    <row r="410" spans="1:9" x14ac:dyDescent="0.3">
      <c r="A410" t="s">
        <v>14</v>
      </c>
      <c r="D410" s="1" t="str">
        <f t="shared" si="23"/>
        <v>Philadelphia, PA</v>
      </c>
      <c r="F410" s="1" t="str">
        <f>"""BC Live Database"",""Gurrentz"",""50013"",""20"",""PHIL"",""1"",""ROBIN"",""10"",""0004"",""40"",""BR"""</f>
        <v>"BC Live Database","Gurrentz","50013","20","PHIL","1","ROBIN","10","0004","40","BR"</v>
      </c>
      <c r="G410" s="3">
        <v>44552</v>
      </c>
      <c r="H410" t="str">
        <f>"Robin"</f>
        <v>Robin</v>
      </c>
      <c r="I410" t="str">
        <f>"0004"</f>
        <v>0004</v>
      </c>
    </row>
    <row r="411" spans="1:9" x14ac:dyDescent="0.3">
      <c r="A411" t="s">
        <v>14</v>
      </c>
      <c r="D411" s="1" t="str">
        <f t="shared" si="23"/>
        <v>Philadelphia, PA</v>
      </c>
      <c r="F411" s="1" t="str">
        <f>"""BC Live Database"",""Gurrentz"",""50013"",""20"",""PHIL"",""1"",""ASPT"",""10"",""040"",""40"",""NI"""</f>
        <v>"BC Live Database","Gurrentz","50013","20","PHIL","1","ASPT","10","040","40","NI"</v>
      </c>
      <c r="G411" s="3">
        <v>44555</v>
      </c>
      <c r="H411" t="str">
        <f>"AS Petra"</f>
        <v>AS Petra</v>
      </c>
      <c r="I411" t="str">
        <f>"040"</f>
        <v>040</v>
      </c>
    </row>
    <row r="412" spans="1:9" x14ac:dyDescent="0.3">
      <c r="A412" t="s">
        <v>14</v>
      </c>
      <c r="D412" s="1" t="str">
        <f t="shared" si="23"/>
        <v>Philadelphia, PA</v>
      </c>
      <c r="F412" s="1" t="str">
        <f>"""BC Live Database"",""Gurrentz"",""50013"",""20"",""PHIL"",""1"",""MAIP"",""10"",""147"",""40"",""BR"""</f>
        <v>"BC Live Database","Gurrentz","50013","20","PHIL","1","MAIP","10","147","40","BR"</v>
      </c>
      <c r="G412" s="3">
        <v>44555</v>
      </c>
      <c r="H412" t="str">
        <f>"Maipo"</f>
        <v>Maipo</v>
      </c>
      <c r="I412" t="str">
        <f>"147"</f>
        <v>147</v>
      </c>
    </row>
    <row r="413" spans="1:9" x14ac:dyDescent="0.3">
      <c r="A413" t="s">
        <v>14</v>
      </c>
      <c r="D413" s="1" t="str">
        <f t="shared" si="23"/>
        <v>Philadelphia, PA</v>
      </c>
      <c r="F413" s="1" t="str">
        <f>"""BC Live Database"",""Gurrentz"",""50013"",""20"",""PHIL"",""1"",""PEDR"",""10"",""147"",""40"",""BR"""</f>
        <v>"BC Live Database","Gurrentz","50013","20","PHIL","1","PEDR","10","147","40","BR"</v>
      </c>
      <c r="G413" s="3">
        <v>44555</v>
      </c>
      <c r="H413" t="str">
        <f>"Pedro Alvares Cabral"</f>
        <v>Pedro Alvares Cabral</v>
      </c>
      <c r="I413" t="str">
        <f>"147"</f>
        <v>147</v>
      </c>
    </row>
    <row r="414" spans="1:9" x14ac:dyDescent="0.3">
      <c r="A414" t="s">
        <v>14</v>
      </c>
      <c r="D414" s="1" t="str">
        <f t="shared" si="23"/>
        <v>Philadelphia, PA</v>
      </c>
      <c r="F414" s="1" t="str">
        <f>"""BC Live Database"",""Gurrentz"",""50013"",""20"",""PHIL"",""1"",""HASA"",""10"",""150"",""40"",""NI"""</f>
        <v>"BC Live Database","Gurrentz","50013","20","PHIL","1","HASA","10","150","40","NI"</v>
      </c>
      <c r="G414" s="3">
        <v>44557</v>
      </c>
      <c r="H414" t="str">
        <f>"Hansa Salzburg"</f>
        <v>Hansa Salzburg</v>
      </c>
      <c r="I414" t="str">
        <f>"150"</f>
        <v>150</v>
      </c>
    </row>
    <row r="415" spans="1:9" x14ac:dyDescent="0.3">
      <c r="A415" t="s">
        <v>14</v>
      </c>
      <c r="D415" s="1" t="str">
        <f t="shared" si="23"/>
        <v>Philadelphia, PA</v>
      </c>
      <c r="F415" s="1" t="str">
        <f>"""BC Live Database"",""Gurrentz"",""50013"",""20"",""PHIL"",""1"",""BOGO"",""10"",""146"",""40"",""AU"""</f>
        <v>"BC Live Database","Gurrentz","50013","20","PHIL","1","BOGO","10","146","40","AU"</v>
      </c>
      <c r="G415" s="3">
        <v>44559</v>
      </c>
      <c r="H415" t="str">
        <f>"Maersk Bogor"</f>
        <v>Maersk Bogor</v>
      </c>
      <c r="I415" t="str">
        <f>"146"</f>
        <v>146</v>
      </c>
    </row>
    <row r="416" spans="1:9" x14ac:dyDescent="0.3">
      <c r="A416" t="s">
        <v>14</v>
      </c>
      <c r="D416" s="1" t="str">
        <f t="shared" si="23"/>
        <v>Philadelphia, PA</v>
      </c>
      <c r="F416" s="1" t="str">
        <f>"""BC Live Database"",""Gurrentz"",""50013"",""20"",""PHIL"",""1"",""BOGO"",""10"",""146"",""40"",""NZ"""</f>
        <v>"BC Live Database","Gurrentz","50013","20","PHIL","1","BOGO","10","146","40","NZ"</v>
      </c>
      <c r="G416" s="3">
        <v>44559</v>
      </c>
      <c r="H416" t="str">
        <f>"Maersk Bogor"</f>
        <v>Maersk Bogor</v>
      </c>
      <c r="I416" t="str">
        <f>"146"</f>
        <v>146</v>
      </c>
    </row>
    <row r="417" spans="1:9" x14ac:dyDescent="0.3">
      <c r="A417" t="s">
        <v>14</v>
      </c>
      <c r="D417" s="1" t="str">
        <f t="shared" si="23"/>
        <v>Philadelphia, PA</v>
      </c>
      <c r="F417" s="1" t="str">
        <f>"""BC Live Database"",""Gurrentz"",""50013"",""20"",""PHIL"",""1"",""MAND"",""10"",""1536"",""40"",""AU"""</f>
        <v>"BC Live Database","Gurrentz","50013","20","PHIL","1","MAND","10","1536","40","AU"</v>
      </c>
      <c r="G417" s="3">
        <v>44560</v>
      </c>
      <c r="H417" t="str">
        <f>"Mandalay"</f>
        <v>Mandalay</v>
      </c>
      <c r="I417" t="str">
        <f>"1536"</f>
        <v>1536</v>
      </c>
    </row>
    <row r="418" spans="1:9" x14ac:dyDescent="0.3">
      <c r="A418" t="s">
        <v>14</v>
      </c>
      <c r="D418" s="1" t="str">
        <f t="shared" si="23"/>
        <v>Philadelphia, PA</v>
      </c>
      <c r="F418" s="1" t="str">
        <f>"""BC Live Database"",""Gurrentz"",""50013"",""20"",""PHIL"",""1"",""MAND"",""10"",""1536"",""40"",""NZ"""</f>
        <v>"BC Live Database","Gurrentz","50013","20","PHIL","1","MAND","10","1536","40","NZ"</v>
      </c>
      <c r="G418" s="3">
        <v>44560</v>
      </c>
      <c r="H418" t="str">
        <f>"Mandalay"</f>
        <v>Mandalay</v>
      </c>
      <c r="I418" t="str">
        <f>"1536"</f>
        <v>1536</v>
      </c>
    </row>
    <row r="419" spans="1:9" x14ac:dyDescent="0.3">
      <c r="A419" t="s">
        <v>14</v>
      </c>
      <c r="D419" s="1" t="str">
        <f t="shared" si="23"/>
        <v>Philadelphia, PA</v>
      </c>
      <c r="F419" s="1" t="str">
        <f>"""BC Live Database"",""Gurrentz"",""50013"",""20"",""PHIL"",""1"",""MSWE"",""10"",""150"",""40"",""BR"""</f>
        <v>"BC Live Database","Gurrentz","50013","20","PHIL","1","MSWE","10","150","40","BR"</v>
      </c>
      <c r="G419" s="3">
        <v>44560</v>
      </c>
      <c r="H419" t="str">
        <f>"MSC Weser"</f>
        <v>MSC Weser</v>
      </c>
      <c r="I419" t="str">
        <f>"150"</f>
        <v>150</v>
      </c>
    </row>
    <row r="420" spans="1:9" x14ac:dyDescent="0.3">
      <c r="A420" t="s">
        <v>14</v>
      </c>
      <c r="D420" s="1" t="str">
        <f t="shared" si="23"/>
        <v>Philadelphia, PA</v>
      </c>
      <c r="F420" s="1" t="str">
        <f>"""BC Live Database"",""Gurrentz"",""50013"",""20"",""PHIL"",""1"",""MOAZ"",""10"",""148"",""40"",""BR"""</f>
        <v>"BC Live Database","Gurrentz","50013","20","PHIL","1","MOAZ","10","148","40","BR"</v>
      </c>
      <c r="G420" s="3">
        <v>44562</v>
      </c>
      <c r="H420" t="str">
        <f>"Monte Azul"</f>
        <v>Monte Azul</v>
      </c>
      <c r="I420" t="str">
        <f>"148"</f>
        <v>148</v>
      </c>
    </row>
    <row r="421" spans="1:9" x14ac:dyDescent="0.3">
      <c r="A421" t="s">
        <v>14</v>
      </c>
      <c r="D421" s="1" t="str">
        <f t="shared" si="23"/>
        <v>Philadelphia, PA</v>
      </c>
      <c r="F421" s="1" t="str">
        <f>"""BC Live Database"",""Gurrentz"",""50013"",""20"",""PHIL"",""1"",""SPSI"",""10"",""146"",""40"",""AU"""</f>
        <v>"BC Live Database","Gurrentz","50013","20","PHIL","1","SPSI","10","146","40","AU"</v>
      </c>
      <c r="G421" s="3">
        <v>44562</v>
      </c>
      <c r="H421" t="str">
        <f>"Spirit of Singapore"</f>
        <v>Spirit of Singapore</v>
      </c>
      <c r="I421" t="str">
        <f>"146"</f>
        <v>146</v>
      </c>
    </row>
    <row r="422" spans="1:9" x14ac:dyDescent="0.3">
      <c r="A422" t="s">
        <v>14</v>
      </c>
      <c r="D422" s="1" t="str">
        <f t="shared" si="23"/>
        <v>Philadelphia, PA</v>
      </c>
      <c r="F422" s="1" t="str">
        <f>"""BC Live Database"",""Gurrentz"",""50013"",""20"",""PHIL"",""1"",""SPSI"",""10"",""146"",""40"",""NZ"""</f>
        <v>"BC Live Database","Gurrentz","50013","20","PHIL","1","SPSI","10","146","40","NZ"</v>
      </c>
      <c r="G422" s="3">
        <v>44562</v>
      </c>
      <c r="H422" t="str">
        <f>"Spirit of Singapore"</f>
        <v>Spirit of Singapore</v>
      </c>
      <c r="I422" t="str">
        <f>"146"</f>
        <v>146</v>
      </c>
    </row>
    <row r="423" spans="1:9" x14ac:dyDescent="0.3">
      <c r="A423" t="s">
        <v>14</v>
      </c>
      <c r="D423" s="1" t="str">
        <f t="shared" si="23"/>
        <v>Philadelphia, PA</v>
      </c>
      <c r="F423" s="1" t="str">
        <f>"""BC Live Database"",""Gurrentz"",""50013"",""20"",""PHIL"",""1"",""VERA"",""10"",""149"",""40"",""BR"""</f>
        <v>"BC Live Database","Gurrentz","50013","20","PHIL","1","VERA","10","149","40","BR"</v>
      </c>
      <c r="G423" s="3">
        <v>44562</v>
      </c>
      <c r="H423" t="str">
        <f>"CMA CGM Vera Cruz"</f>
        <v>CMA CGM Vera Cruz</v>
      </c>
      <c r="I423" t="str">
        <f>"149"</f>
        <v>149</v>
      </c>
    </row>
    <row r="424" spans="1:9" x14ac:dyDescent="0.3">
      <c r="A424" t="s">
        <v>14</v>
      </c>
      <c r="D424" s="1" t="str">
        <f t="shared" si="23"/>
        <v>Philadelphia, PA</v>
      </c>
      <c r="F424" s="1" t="str">
        <f>"""BC Live Database"",""Gurrentz"",""50013"",""20"",""PHIL"",""1"",""SAAL"",""10"",""151"",""40"",""NI"""</f>
        <v>"BC Live Database","Gurrentz","50013","20","PHIL","1","SAAL","10","151","40","NI"</v>
      </c>
      <c r="G424" s="3">
        <v>44564</v>
      </c>
      <c r="H424" t="str">
        <f>"San Alberto"</f>
        <v>San Alberto</v>
      </c>
      <c r="I424" t="str">
        <f>"151"</f>
        <v>151</v>
      </c>
    </row>
    <row r="425" spans="1:9" x14ac:dyDescent="0.3">
      <c r="A425" t="s">
        <v>14</v>
      </c>
      <c r="D425" s="1" t="str">
        <f t="shared" si="23"/>
        <v>Philadelphia, PA</v>
      </c>
      <c r="F425" s="1" t="str">
        <f>"""BC Live Database"",""Gurrentz"",""50013"",""20"",""PHIL"",""1"",""NORD"",""10"",""1542"",""40"",""AU"""</f>
        <v>"BC Live Database","Gurrentz","50013","20","PHIL","1","NORD","10","1542","40","AU"</v>
      </c>
      <c r="G425" s="3">
        <v>44565</v>
      </c>
      <c r="H425" t="str">
        <f>"Nordamelia"</f>
        <v>Nordamelia</v>
      </c>
      <c r="I425" t="str">
        <f>"1542"</f>
        <v>1542</v>
      </c>
    </row>
    <row r="426" spans="1:9" x14ac:dyDescent="0.3">
      <c r="A426" t="s">
        <v>14</v>
      </c>
      <c r="D426" s="1" t="str">
        <f t="shared" si="23"/>
        <v>Philadelphia, PA</v>
      </c>
      <c r="F426" s="1" t="str">
        <f>"""BC Live Database"",""Gurrentz"",""50013"",""20"",""PHIL"",""1"",""NORD"",""10"",""1542"",""40"",""NZ"""</f>
        <v>"BC Live Database","Gurrentz","50013","20","PHIL","1","NORD","10","1542","40","NZ"</v>
      </c>
      <c r="G426" s="3">
        <v>44565</v>
      </c>
      <c r="H426" t="str">
        <f>"Nordamelia"</f>
        <v>Nordamelia</v>
      </c>
      <c r="I426" t="str">
        <f>"1542"</f>
        <v>1542</v>
      </c>
    </row>
    <row r="427" spans="1:9" x14ac:dyDescent="0.3">
      <c r="A427" t="s">
        <v>14</v>
      </c>
      <c r="D427" s="1" t="str">
        <f t="shared" si="23"/>
        <v>Philadelphia, PA</v>
      </c>
      <c r="F427" s="1" t="str">
        <f>"""BC Live Database"",""Gurrentz"",""50013"",""20"",""PHIL"",""1"",""MOTA"",""10"",""148"",""40"",""BR"""</f>
        <v>"BC Live Database","Gurrentz","50013","20","PHIL","1","MOTA","10","148","40","BR"</v>
      </c>
      <c r="G427" s="3">
        <v>44566</v>
      </c>
      <c r="H427" t="str">
        <f>"Monte Tamaro"</f>
        <v>Monte Tamaro</v>
      </c>
      <c r="I427" t="str">
        <f>"148"</f>
        <v>148</v>
      </c>
    </row>
    <row r="428" spans="1:9" x14ac:dyDescent="0.3">
      <c r="A428" t="s">
        <v>14</v>
      </c>
      <c r="D428" s="1" t="str">
        <f t="shared" si="23"/>
        <v>Philadelphia, PA</v>
      </c>
      <c r="F428" s="1" t="str">
        <f>"""BC Live Database"",""Gurrentz"",""50013"",""20"",""PHIL"",""1"",""MAGN"",""10"",""149"",""40"",""BR"""</f>
        <v>"BC Live Database","Gurrentz","50013","20","PHIL","1","MAGN","10","149","40","BR"</v>
      </c>
      <c r="G428" s="3">
        <v>44569</v>
      </c>
      <c r="H428" t="str">
        <f>"Northern Magnitude"</f>
        <v>Northern Magnitude</v>
      </c>
      <c r="I428" t="str">
        <f>"149"</f>
        <v>149</v>
      </c>
    </row>
    <row r="429" spans="1:9" x14ac:dyDescent="0.3">
      <c r="A429" t="s">
        <v>14</v>
      </c>
      <c r="D429" s="1" t="str">
        <f t="shared" si="23"/>
        <v>Philadelphia, PA</v>
      </c>
      <c r="F429" s="1" t="str">
        <f>"""BC Live Database"",""Gurrentz"",""50013"",""20"",""PHIL"",""1"",""MAIN"",""10"",""147"",""40"",""AU"""</f>
        <v>"BC Live Database","Gurrentz","50013","20","PHIL","1","MAIN","10","147","40","AU"</v>
      </c>
      <c r="G429" s="3">
        <v>44569</v>
      </c>
      <c r="H429" t="str">
        <f>"Maersk Inverness"</f>
        <v>Maersk Inverness</v>
      </c>
      <c r="I429" t="str">
        <f>"147"</f>
        <v>147</v>
      </c>
    </row>
    <row r="430" spans="1:9" x14ac:dyDescent="0.3">
      <c r="A430" t="s">
        <v>14</v>
      </c>
      <c r="D430" s="1" t="str">
        <f t="shared" si="23"/>
        <v>Philadelphia, PA</v>
      </c>
      <c r="F430" s="1" t="str">
        <f>"""BC Live Database"",""Gurrentz"",""50013"",""20"",""PHIL"",""1"",""MAIN"",""10"",""147"",""40"",""NZ"""</f>
        <v>"BC Live Database","Gurrentz","50013","20","PHIL","1","MAIN","10","147","40","NZ"</v>
      </c>
      <c r="G430" s="3">
        <v>44569</v>
      </c>
      <c r="H430" t="str">
        <f>"Maersk Inverness"</f>
        <v>Maersk Inverness</v>
      </c>
      <c r="I430" t="str">
        <f>"147"</f>
        <v>147</v>
      </c>
    </row>
    <row r="431" spans="1:9" x14ac:dyDescent="0.3">
      <c r="A431" t="s">
        <v>14</v>
      </c>
      <c r="D431" s="1" t="str">
        <f t="shared" si="23"/>
        <v>Philadelphia, PA</v>
      </c>
      <c r="F431" s="1" t="str">
        <f>"""BC Live Database"",""Gurrentz"",""50013"",""20"",""PHIL"",""1"",""GRFO"",""10"",""49"",""40"",""NI"""</f>
        <v>"BC Live Database","Gurrentz","50013","20","PHIL","1","GRFO","10","49","40","NI"</v>
      </c>
      <c r="G431" s="3">
        <v>44571</v>
      </c>
      <c r="H431" t="str">
        <f>"Green Forest"</f>
        <v>Green Forest</v>
      </c>
      <c r="I431" t="str">
        <f>"49"</f>
        <v>49</v>
      </c>
    </row>
    <row r="432" spans="1:9" x14ac:dyDescent="0.3">
      <c r="A432" t="s">
        <v>14</v>
      </c>
      <c r="D432" s="1" t="str">
        <f t="shared" si="23"/>
        <v>Philadelphia, PA</v>
      </c>
      <c r="F432" s="1" t="str">
        <f>"""BC Live Database"",""Gurrentz"",""50013"",""20"",""PHIL"",""1"",""SANA"",""10"",""152"",""40"",""NI"""</f>
        <v>"BC Live Database","Gurrentz","50013","20","PHIL","1","SANA","10","152","40","NI"</v>
      </c>
      <c r="G432" s="3">
        <v>44571</v>
      </c>
      <c r="H432" t="str">
        <f>"SAN ALVARO"</f>
        <v>SAN ALVARO</v>
      </c>
      <c r="I432" t="str">
        <f>"152"</f>
        <v>152</v>
      </c>
    </row>
    <row r="433" spans="1:9" x14ac:dyDescent="0.3">
      <c r="A433" t="s">
        <v>14</v>
      </c>
      <c r="D433" s="1" t="str">
        <f t="shared" si="23"/>
        <v>Philadelphia, PA</v>
      </c>
      <c r="F433" s="1" t="str">
        <f>"""BC Live Database"",""Gurrentz"",""50013"",""20"",""PHIL"",""1"",""TIRUA"",""10"",""145"",""40"",""BR"""</f>
        <v>"BC Live Database","Gurrentz","50013","20","PHIL","1","TIRUA","10","145","40","BR"</v>
      </c>
      <c r="G433" s="3">
        <v>44572</v>
      </c>
      <c r="H433" t="str">
        <f>"Tirua"</f>
        <v>Tirua</v>
      </c>
      <c r="I433" t="str">
        <f>"145"</f>
        <v>145</v>
      </c>
    </row>
    <row r="434" spans="1:9" x14ac:dyDescent="0.3">
      <c r="A434" t="s">
        <v>14</v>
      </c>
      <c r="D434" s="1" t="str">
        <f t="shared" si="23"/>
        <v>Philadelphia, PA</v>
      </c>
      <c r="F434" s="1" t="str">
        <f>"""BC Live Database"",""Gurrentz"",""50013"",""20"",""PHIL"",""1"",""OLIM"",""10"",""148"",""40"",""AU"""</f>
        <v>"BC Live Database","Gurrentz","50013","20","PHIL","1","OLIM","10","148","40","AU"</v>
      </c>
      <c r="G434" s="3">
        <v>44573</v>
      </c>
      <c r="H434" t="str">
        <f>"Olivia Maersk"</f>
        <v>Olivia Maersk</v>
      </c>
      <c r="I434" t="str">
        <f>"148"</f>
        <v>148</v>
      </c>
    </row>
    <row r="435" spans="1:9" x14ac:dyDescent="0.3">
      <c r="A435" t="s">
        <v>14</v>
      </c>
      <c r="D435" s="1" t="str">
        <f t="shared" si="23"/>
        <v>Philadelphia, PA</v>
      </c>
      <c r="F435" s="1" t="str">
        <f>"""BC Live Database"",""Gurrentz"",""50013"",""20"",""PHIL"",""1"",""OLIM"",""10"",""148"",""40"",""BR"""</f>
        <v>"BC Live Database","Gurrentz","50013","20","PHIL","1","OLIM","10","148","40","BR"</v>
      </c>
      <c r="G435" s="3">
        <v>44573</v>
      </c>
      <c r="H435" t="str">
        <f>"Olivia Maersk"</f>
        <v>Olivia Maersk</v>
      </c>
      <c r="I435" t="str">
        <f>"148"</f>
        <v>148</v>
      </c>
    </row>
    <row r="436" spans="1:9" x14ac:dyDescent="0.3">
      <c r="A436" t="s">
        <v>14</v>
      </c>
      <c r="D436" s="1" t="str">
        <f t="shared" si="23"/>
        <v>Philadelphia, PA</v>
      </c>
      <c r="F436" s="1" t="str">
        <f>"""BC Live Database"",""Gurrentz"",""50013"",""20"",""PHIL"",""1"",""OLIM"",""10"",""148"",""40"",""NZ"""</f>
        <v>"BC Live Database","Gurrentz","50013","20","PHIL","1","OLIM","10","148","40","NZ"</v>
      </c>
      <c r="G436" s="3">
        <v>44573</v>
      </c>
      <c r="H436" t="str">
        <f>"Olivia Maersk"</f>
        <v>Olivia Maersk</v>
      </c>
      <c r="I436" t="str">
        <f>"148"</f>
        <v>148</v>
      </c>
    </row>
    <row r="437" spans="1:9" x14ac:dyDescent="0.3">
      <c r="A437" t="s">
        <v>14</v>
      </c>
      <c r="D437" s="1" t="str">
        <f t="shared" si="23"/>
        <v>Philadelphia, PA</v>
      </c>
      <c r="F437" s="1" t="str">
        <f>"""BC Live Database"",""Gurrentz"",""50013"",""20"",""PHIL"",""1"",""DUEX"",""10"",""150"",""40"",""BR"""</f>
        <v>"BC Live Database","Gurrentz","50013","20","PHIL","1","DUEX","10","150","40","BR"</v>
      </c>
      <c r="G437" s="3">
        <v>44574</v>
      </c>
      <c r="H437" t="str">
        <f>"Dublin Express"</f>
        <v>Dublin Express</v>
      </c>
      <c r="I437" t="str">
        <f>"150"</f>
        <v>150</v>
      </c>
    </row>
    <row r="438" spans="1:9" x14ac:dyDescent="0.3">
      <c r="A438" t="s">
        <v>14</v>
      </c>
      <c r="D438" s="1" t="str">
        <f t="shared" si="23"/>
        <v>Philadelphia, PA</v>
      </c>
      <c r="F438" s="1" t="str">
        <f>"""BC Live Database"",""Gurrentz"",""50013"",""20"",""PHIL"",""1"",""DUEX"",""10"",""150"",""40"",""UY"""</f>
        <v>"BC Live Database","Gurrentz","50013","20","PHIL","1","DUEX","10","150","40","UY"</v>
      </c>
      <c r="G438" s="3">
        <v>44574</v>
      </c>
      <c r="H438" t="str">
        <f>"Dublin Express"</f>
        <v>Dublin Express</v>
      </c>
      <c r="I438" t="str">
        <f>"150"</f>
        <v>150</v>
      </c>
    </row>
    <row r="439" spans="1:9" x14ac:dyDescent="0.3">
      <c r="A439" t="s">
        <v>14</v>
      </c>
      <c r="D439" s="1" t="str">
        <f t="shared" si="23"/>
        <v>Philadelphia, PA</v>
      </c>
      <c r="F439" s="1" t="str">
        <f>"""BC Live Database"",""Gurrentz"",""50013"",""20"",""PHIL"",""1"",""ARTE"",""10"",""149"",""40"",""BR"""</f>
        <v>"BC Live Database","Gurrentz","50013","20","PHIL","1","ARTE","10","149","40","BR"</v>
      </c>
      <c r="G439" s="3">
        <v>44576</v>
      </c>
      <c r="H439" t="str">
        <f>"Cap San Artemissio"</f>
        <v>Cap San Artemissio</v>
      </c>
      <c r="I439" t="str">
        <f>"149"</f>
        <v>149</v>
      </c>
    </row>
    <row r="440" spans="1:9" x14ac:dyDescent="0.3">
      <c r="A440" t="s">
        <v>14</v>
      </c>
      <c r="D440" s="1" t="str">
        <f t="shared" si="23"/>
        <v>Philadelphia, PA</v>
      </c>
      <c r="F440" s="1" t="str">
        <f>"""BC Live Database"",""Gurrentz"",""50013"",""20"",""PHIL"",""1"",""GALA"",""10"",""201"",""40"",""NI"""</f>
        <v>"BC Live Database","Gurrentz","50013","20","PHIL","1","GALA","10","201","40","NI"</v>
      </c>
      <c r="G440" s="3">
        <v>44578</v>
      </c>
      <c r="H440" t="str">
        <f>"Galani"</f>
        <v>Galani</v>
      </c>
      <c r="I440" t="str">
        <f>"201"</f>
        <v>201</v>
      </c>
    </row>
    <row r="441" spans="1:9" x14ac:dyDescent="0.3">
      <c r="A441" t="s">
        <v>14</v>
      </c>
      <c r="D441" s="1" t="str">
        <f t="shared" si="23"/>
        <v>Philadelphia, PA</v>
      </c>
      <c r="F441" s="1" t="str">
        <f>"""BC Live Database"",""Gurrentz"",""50013"",""20"",""PHIL"",""1"",""BOSP"",""10"",""148"",""40"",""AR"""</f>
        <v>"BC Live Database","Gurrentz","50013","20","PHIL","1","BOSP","10","148","40","AR"</v>
      </c>
      <c r="G441" s="3">
        <v>44579</v>
      </c>
      <c r="H441" t="str">
        <f>"MSC Bosphorus"</f>
        <v>MSC Bosphorus</v>
      </c>
      <c r="I441" t="str">
        <f>"148"</f>
        <v>148</v>
      </c>
    </row>
    <row r="442" spans="1:9" x14ac:dyDescent="0.3">
      <c r="A442" t="s">
        <v>14</v>
      </c>
      <c r="D442" s="1" t="str">
        <f t="shared" si="23"/>
        <v>Philadelphia, PA</v>
      </c>
      <c r="F442" s="1" t="str">
        <f>"""BC Live Database"",""Gurrentz"",""50013"",""20"",""PHIL"",""1"",""PARA"",""10"",""151"",""40"",""BR"""</f>
        <v>"BC Live Database","Gurrentz","50013","20","PHIL","1","PARA","10","151","40","BR"</v>
      </c>
      <c r="G442" s="3">
        <v>44579</v>
      </c>
      <c r="H442" t="str">
        <f>"CMA CGM Paranagua"</f>
        <v>CMA CGM Paranagua</v>
      </c>
      <c r="I442" t="str">
        <f>"151"</f>
        <v>151</v>
      </c>
    </row>
    <row r="443" spans="1:9" x14ac:dyDescent="0.3">
      <c r="A443" t="s">
        <v>14</v>
      </c>
      <c r="D443" s="1" t="str">
        <f t="shared" si="23"/>
        <v>Philadelphia, PA</v>
      </c>
      <c r="F443" s="1" t="str">
        <f>"""BC Live Database"",""Gurrentz"",""50013"",""20"",""PHIL"",""1"",""CMAD"",""10"",""1538"",""40"",""AU"""</f>
        <v>"BC Live Database","Gurrentz","50013","20","PHIL","1","CMAD","10","1538","40","AU"</v>
      </c>
      <c r="G443" s="3">
        <v>44582</v>
      </c>
      <c r="H443" t="str">
        <f>"CMA CGM Abu Dhabi"</f>
        <v>CMA CGM Abu Dhabi</v>
      </c>
      <c r="I443" t="str">
        <f>"1538"</f>
        <v>1538</v>
      </c>
    </row>
    <row r="444" spans="1:9" x14ac:dyDescent="0.3">
      <c r="A444" t="s">
        <v>14</v>
      </c>
      <c r="D444" s="1" t="str">
        <f t="shared" si="23"/>
        <v>Philadelphia, PA</v>
      </c>
      <c r="F444" s="1" t="str">
        <f>"""BC Live Database"",""Gurrentz"",""50013"",""20"",""PHIL"",""1"",""CMAD"",""10"",""1538"",""40"",""NZ"""</f>
        <v>"BC Live Database","Gurrentz","50013","20","PHIL","1","CMAD","10","1538","40","NZ"</v>
      </c>
      <c r="G444" s="3">
        <v>44582</v>
      </c>
      <c r="H444" t="str">
        <f>"CMA CGM Abu Dhabi"</f>
        <v>CMA CGM Abu Dhabi</v>
      </c>
      <c r="I444" t="str">
        <f>"1538"</f>
        <v>1538</v>
      </c>
    </row>
    <row r="445" spans="1:9" x14ac:dyDescent="0.3">
      <c r="A445" t="s">
        <v>14</v>
      </c>
      <c r="D445" s="1" t="str">
        <f t="shared" si="23"/>
        <v>Philadelphia, PA</v>
      </c>
      <c r="F445" s="1" t="str">
        <f>"""BC Live Database"",""Gurrentz"",""50013"",""20"",""PHIL"",""1"",""MSOL"",""10"",""202"",""40"",""AR"""</f>
        <v>"BC Live Database","Gurrentz","50013","20","PHIL","1","MSOL","10","202","40","AR"</v>
      </c>
      <c r="G445" s="3">
        <v>44582</v>
      </c>
      <c r="H445" t="str">
        <f>"MSC Olia"</f>
        <v>MSC Olia</v>
      </c>
      <c r="I445" t="str">
        <f>"202"</f>
        <v>202</v>
      </c>
    </row>
    <row r="446" spans="1:9" x14ac:dyDescent="0.3">
      <c r="A446" t="s">
        <v>14</v>
      </c>
      <c r="D446" s="1" t="str">
        <f t="shared" si="23"/>
        <v>Philadelphia, PA</v>
      </c>
      <c r="F446" s="1" t="str">
        <f>"""BC Live Database"",""Gurrentz"",""50013"",""20"",""PHIL"",""1"",""SPSH"",""10"",""149"",""40"",""AU"""</f>
        <v>"BC Live Database","Gurrentz","50013","20","PHIL","1","SPSH","10","149","40","AU"</v>
      </c>
      <c r="G446" s="3">
        <v>44583</v>
      </c>
      <c r="H446" t="str">
        <f>"Spirit of Shanghai"</f>
        <v>Spirit of Shanghai</v>
      </c>
      <c r="I446" t="str">
        <f>"149"</f>
        <v>149</v>
      </c>
    </row>
    <row r="447" spans="1:9" x14ac:dyDescent="0.3">
      <c r="A447" t="s">
        <v>14</v>
      </c>
      <c r="D447" s="1" t="str">
        <f t="shared" si="23"/>
        <v>Philadelphia, PA</v>
      </c>
      <c r="F447" s="1" t="str">
        <f>"""BC Live Database"",""Gurrentz"",""50013"",""20"",""PHIL"",""1"",""SPSH"",""10"",""149"",""40"",""NZ"""</f>
        <v>"BC Live Database","Gurrentz","50013","20","PHIL","1","SPSH","10","149","40","NZ"</v>
      </c>
      <c r="G447" s="3">
        <v>44583</v>
      </c>
      <c r="H447" t="str">
        <f>"Spirit of Shanghai"</f>
        <v>Spirit of Shanghai</v>
      </c>
      <c r="I447" t="str">
        <f>"149"</f>
        <v>149</v>
      </c>
    </row>
    <row r="448" spans="1:9" x14ac:dyDescent="0.3">
      <c r="A448" t="s">
        <v>14</v>
      </c>
      <c r="D448" s="1" t="str">
        <f t="shared" si="23"/>
        <v>Philadelphia, PA</v>
      </c>
      <c r="F448" s="1" t="str">
        <f>"""BC Live Database"",""Gurrentz"",""50013"",""20"",""PHIL"",""1"",""HASA"",""10"",""202"",""40"",""NI"""</f>
        <v>"BC Live Database","Gurrentz","50013","20","PHIL","1","HASA","10","202","40","NI"</v>
      </c>
      <c r="G448" s="3">
        <v>44584</v>
      </c>
      <c r="H448" t="str">
        <f>"Hansa Salzburg"</f>
        <v>Hansa Salzburg</v>
      </c>
      <c r="I448" t="str">
        <f>"202"</f>
        <v>202</v>
      </c>
    </row>
    <row r="449" spans="1:9" x14ac:dyDescent="0.3">
      <c r="A449" t="s">
        <v>14</v>
      </c>
      <c r="D449" s="1" t="str">
        <f t="shared" si="23"/>
        <v>Philadelphia, PA</v>
      </c>
      <c r="F449" s="1" t="str">
        <f>"""BC Live Database"",""Gurrentz"",""50013"",""20"",""PHIL"",""1"",""NOMJ"",""10"",""151"",""40"",""BR"""</f>
        <v>"BC Live Database","Gurrentz","50013","20","PHIL","1","NOMJ","10","151","40","BR"</v>
      </c>
      <c r="G449" s="3">
        <v>44584</v>
      </c>
      <c r="H449" t="str">
        <f>"Northern Majestic"</f>
        <v>Northern Majestic</v>
      </c>
      <c r="I449" t="str">
        <f>"151"</f>
        <v>151</v>
      </c>
    </row>
    <row r="450" spans="1:9" x14ac:dyDescent="0.3">
      <c r="A450" t="s">
        <v>14</v>
      </c>
      <c r="D450" s="1" t="str">
        <f t="shared" si="23"/>
        <v>Philadelphia, PA</v>
      </c>
      <c r="F450" s="1" t="str">
        <f>"""BC Live Database"",""Gurrentz"",""50013"",""20"",""PHIL"",""1"",""SABA"",""10"",""150"",""40"",""AU"""</f>
        <v>"BC Live Database","Gurrentz","50013","20","PHIL","1","SABA","10","150","40","AU"</v>
      </c>
      <c r="G450" s="3">
        <v>44587</v>
      </c>
      <c r="H450" t="str">
        <f>"Safemarine Bayette"</f>
        <v>Safemarine Bayette</v>
      </c>
      <c r="I450" t="str">
        <f>"150"</f>
        <v>150</v>
      </c>
    </row>
    <row r="451" spans="1:9" x14ac:dyDescent="0.3">
      <c r="A451" t="s">
        <v>14</v>
      </c>
      <c r="D451" s="1" t="str">
        <f t="shared" si="23"/>
        <v>Philadelphia, PA</v>
      </c>
      <c r="F451" s="1" t="str">
        <f>"""BC Live Database"",""Gurrentz"",""50013"",""20"",""PHIL"",""1"",""SABA"",""10"",""150"",""40"",""BR"""</f>
        <v>"BC Live Database","Gurrentz","50013","20","PHIL","1","SABA","10","150","40","BR"</v>
      </c>
      <c r="G451" s="3">
        <v>44587</v>
      </c>
      <c r="H451" t="str">
        <f>"Safemarine Bayette"</f>
        <v>Safemarine Bayette</v>
      </c>
      <c r="I451" t="str">
        <f>"150"</f>
        <v>150</v>
      </c>
    </row>
    <row r="452" spans="1:9" x14ac:dyDescent="0.3">
      <c r="A452" t="s">
        <v>14</v>
      </c>
      <c r="D452" s="1" t="str">
        <f t="shared" si="23"/>
        <v>Philadelphia, PA</v>
      </c>
      <c r="F452" s="1" t="str">
        <f>"""BC Live Database"",""Gurrentz"",""50013"",""20"",""PHIL"",""1"",""SABA"",""10"",""150"",""40"",""NZ"""</f>
        <v>"BC Live Database","Gurrentz","50013","20","PHIL","1","SABA","10","150","40","NZ"</v>
      </c>
      <c r="G452" s="3">
        <v>44587</v>
      </c>
      <c r="H452" t="str">
        <f>"Safemarine Bayette"</f>
        <v>Safemarine Bayette</v>
      </c>
      <c r="I452" t="str">
        <f>"150"</f>
        <v>150</v>
      </c>
    </row>
    <row r="453" spans="1:9" x14ac:dyDescent="0.3">
      <c r="A453" t="s">
        <v>14</v>
      </c>
      <c r="D453" s="1" t="str">
        <f t="shared" si="23"/>
        <v>Philadelphia, PA</v>
      </c>
      <c r="F453" s="1" t="str">
        <f>"""BC Live Database"",""Gurrentz"",""50013"",""20"",""PHIL"",""1"",""NICO"",""10"",""151"",""40"",""BR"""</f>
        <v>"BC Live Database","Gurrentz","50013","20","PHIL","1","NICO","10","151","40","BR"</v>
      </c>
      <c r="G453" s="3">
        <v>44588</v>
      </c>
      <c r="H453" t="str">
        <f>"Cap San Nicolas"</f>
        <v>Cap San Nicolas</v>
      </c>
      <c r="I453" t="str">
        <f>"151"</f>
        <v>151</v>
      </c>
    </row>
    <row r="454" spans="1:9" x14ac:dyDescent="0.3">
      <c r="A454" t="s">
        <v>14</v>
      </c>
      <c r="D454" s="1" t="str">
        <f t="shared" si="23"/>
        <v>Philadelphia, PA</v>
      </c>
      <c r="F454" s="1" t="str">
        <f>"""BC Live Database"",""Gurrentz"",""50013"",""20"",""PHIL"",""1"",""ALEGRE"",""10"",""152"",""40"",""BR"""</f>
        <v>"BC Live Database","Gurrentz","50013","20","PHIL","1","ALEGRE","10","152","40","BR"</v>
      </c>
      <c r="G454" s="3">
        <v>44591</v>
      </c>
      <c r="H454" t="str">
        <f>"Monte Alegre"</f>
        <v>Monte Alegre</v>
      </c>
      <c r="I454" t="str">
        <f>"152"</f>
        <v>152</v>
      </c>
    </row>
    <row r="455" spans="1:9" x14ac:dyDescent="0.3">
      <c r="A455" t="s">
        <v>14</v>
      </c>
      <c r="D455" s="1" t="str">
        <f t="shared" si="23"/>
        <v>Philadelphia, PA</v>
      </c>
      <c r="F455" s="1" t="str">
        <f>"""BC Live Database"",""Gurrentz"",""50013"",""20"",""PHIL"",""1"",""ALEGRE"",""10"",""152"",""40"",""UY"""</f>
        <v>"BC Live Database","Gurrentz","50013","20","PHIL","1","ALEGRE","10","152","40","UY"</v>
      </c>
      <c r="G455" s="3">
        <v>44591</v>
      </c>
      <c r="H455" t="str">
        <f>"Monte Alegre"</f>
        <v>Monte Alegre</v>
      </c>
      <c r="I455" t="str">
        <f>"152"</f>
        <v>152</v>
      </c>
    </row>
    <row r="456" spans="1:9" x14ac:dyDescent="0.3">
      <c r="A456" t="s">
        <v>14</v>
      </c>
      <c r="D456" s="1" t="str">
        <f t="shared" si="23"/>
        <v>Philadelphia, PA</v>
      </c>
      <c r="F456" s="1" t="str">
        <f>"""BC Live Database"",""Gurrentz"",""50013"",""20"",""PHIL"",""1"",""SAAL"",""10"",""203"",""40"",""NI"""</f>
        <v>"BC Live Database","Gurrentz","50013","20","PHIL","1","SAAL","10","203","40","NI"</v>
      </c>
      <c r="G456" s="3">
        <v>44592</v>
      </c>
      <c r="H456" t="str">
        <f>"San Alberto"</f>
        <v>San Alberto</v>
      </c>
      <c r="I456" t="str">
        <f>"203"</f>
        <v>203</v>
      </c>
    </row>
    <row r="457" spans="1:9" x14ac:dyDescent="0.3">
      <c r="A457" t="s">
        <v>14</v>
      </c>
      <c r="D457" s="1" t="str">
        <f t="shared" si="23"/>
        <v>Philadelphia, PA</v>
      </c>
      <c r="F457" s="1" t="str">
        <f>"""BC Live Database"",""Gurrentz"",""50013"",""20"",""PHIL"",""1"",""SPSY"",""10"",""151"",""40"",""AU"""</f>
        <v>"BC Live Database","Gurrentz","50013","20","PHIL","1","SPSY","10","151","40","AU"</v>
      </c>
      <c r="G457" s="3">
        <v>44594</v>
      </c>
      <c r="H457" t="str">
        <f>"Spirit of Sydney"</f>
        <v>Spirit of Sydney</v>
      </c>
      <c r="I457" t="str">
        <f>"151"</f>
        <v>151</v>
      </c>
    </row>
    <row r="458" spans="1:9" x14ac:dyDescent="0.3">
      <c r="A458" t="s">
        <v>14</v>
      </c>
      <c r="D458" s="1" t="str">
        <f t="shared" si="23"/>
        <v>Philadelphia, PA</v>
      </c>
      <c r="F458" s="1" t="str">
        <f>"""BC Live Database"",""Gurrentz"",""50013"",""20"",""PHIL"",""1"",""SPSY"",""10"",""151"",""40"",""BR"""</f>
        <v>"BC Live Database","Gurrentz","50013","20","PHIL","1","SPSY","10","151","40","BR"</v>
      </c>
      <c r="G458" s="3">
        <v>44594</v>
      </c>
      <c r="H458" t="str">
        <f>"Spirit of Sydney"</f>
        <v>Spirit of Sydney</v>
      </c>
      <c r="I458" t="str">
        <f>"151"</f>
        <v>151</v>
      </c>
    </row>
    <row r="459" spans="1:9" x14ac:dyDescent="0.3">
      <c r="A459" t="s">
        <v>14</v>
      </c>
      <c r="D459" s="1" t="str">
        <f t="shared" si="23"/>
        <v>Philadelphia, PA</v>
      </c>
      <c r="F459" s="1" t="str">
        <f>"""BC Live Database"",""Gurrentz"",""50013"",""20"",""PHIL"",""1"",""SPSY"",""10"",""151"",""40"",""NZ"""</f>
        <v>"BC Live Database","Gurrentz","50013","20","PHIL","1","SPSY","10","151","40","NZ"</v>
      </c>
      <c r="G459" s="3">
        <v>44594</v>
      </c>
      <c r="H459" t="str">
        <f>"Spirit of Sydney"</f>
        <v>Spirit of Sydney</v>
      </c>
      <c r="I459" t="str">
        <f>"151"</f>
        <v>151</v>
      </c>
    </row>
    <row r="460" spans="1:9" x14ac:dyDescent="0.3">
      <c r="A460" t="s">
        <v>14</v>
      </c>
      <c r="D460" s="1" t="str">
        <f t="shared" si="23"/>
        <v>Philadelphia, PA</v>
      </c>
      <c r="F460" s="1" t="str">
        <f>"""BC Live Database"",""Gurrentz"",""50013"",""20"",""PHIL"",""1"",""NOPA"",""10"",""1546"",""40"",""AU"""</f>
        <v>"BC Live Database","Gurrentz","50013","20","PHIL","1","NOPA","10","1546","40","AU"</v>
      </c>
      <c r="G460" s="3">
        <v>44596</v>
      </c>
      <c r="H460" t="str">
        <f>"Nordpacific"</f>
        <v>Nordpacific</v>
      </c>
      <c r="I460" t="str">
        <f>"1546"</f>
        <v>1546</v>
      </c>
    </row>
    <row r="461" spans="1:9" x14ac:dyDescent="0.3">
      <c r="A461" t="s">
        <v>14</v>
      </c>
      <c r="D461" s="1" t="str">
        <f t="shared" si="23"/>
        <v>Philadelphia, PA</v>
      </c>
      <c r="F461" s="1" t="str">
        <f>"""BC Live Database"",""Gurrentz"",""50013"",""20"",""PHIL"",""1"",""NOPA"",""10"",""1546"",""40"",""NZ"""</f>
        <v>"BC Live Database","Gurrentz","50013","20","PHIL","1","NOPA","10","1546","40","NZ"</v>
      </c>
      <c r="G461" s="3">
        <v>44596</v>
      </c>
      <c r="H461" t="str">
        <f>"Nordpacific"</f>
        <v>Nordpacific</v>
      </c>
      <c r="I461" t="str">
        <f>"1546"</f>
        <v>1546</v>
      </c>
    </row>
    <row r="462" spans="1:9" x14ac:dyDescent="0.3">
      <c r="A462" t="s">
        <v>14</v>
      </c>
      <c r="D462" s="1" t="str">
        <f t="shared" si="23"/>
        <v>Philadelphia, PA</v>
      </c>
      <c r="F462" s="1" t="str">
        <f>"""BC Live Database"",""Gurrentz"",""50013"",""20"",""PHIL"",""1"",""SANA"",""10"",""240"",""40"",""NI"""</f>
        <v>"BC Live Database","Gurrentz","50013","20","PHIL","1","SANA","10","240","40","NI"</v>
      </c>
      <c r="G462" s="3">
        <v>44599</v>
      </c>
      <c r="H462" t="str">
        <f>"SAN ALVARO"</f>
        <v>SAN ALVARO</v>
      </c>
      <c r="I462" t="str">
        <f>"240"</f>
        <v>240</v>
      </c>
    </row>
    <row r="463" spans="1:9" x14ac:dyDescent="0.3">
      <c r="A463" t="s">
        <v>14</v>
      </c>
      <c r="D463" s="1" t="str">
        <f t="shared" si="23"/>
        <v>Philadelphia, PA</v>
      </c>
      <c r="F463" s="1" t="str">
        <f>"""BC Live Database"",""Gurrentz"",""50013"",""20"",""PHIL"",""1"",""MATD"",""10"",""149"",""40"",""BR"""</f>
        <v>"BC Live Database","Gurrentz","50013","20","PHIL","1","MATD","10","149","40","BR"</v>
      </c>
      <c r="G463" s="3">
        <v>44601</v>
      </c>
      <c r="H463" t="str">
        <f>"MSC Matilde"</f>
        <v>MSC Matilde</v>
      </c>
      <c r="I463" t="str">
        <f>"149"</f>
        <v>149</v>
      </c>
    </row>
    <row r="464" spans="1:9" x14ac:dyDescent="0.3">
      <c r="A464" t="s">
        <v>14</v>
      </c>
      <c r="D464" s="1" t="str">
        <f t="shared" si="23"/>
        <v>Philadelphia, PA</v>
      </c>
      <c r="F464" s="1" t="str">
        <f>"""BC Live Database"",""Gurrentz"",""50013"",""20"",""PHIL"",""1"",""OLFM"",""10"",""152"",""40"",""AR"""</f>
        <v>"BC Live Database","Gurrentz","50013","20","PHIL","1","OLFM","10","152","40","AR"</v>
      </c>
      <c r="G464" s="3">
        <v>44601</v>
      </c>
      <c r="H464" t="str">
        <f>"Oluf Maersk"</f>
        <v>Oluf Maersk</v>
      </c>
      <c r="I464" t="str">
        <f>"152"</f>
        <v>152</v>
      </c>
    </row>
    <row r="465" spans="1:9" x14ac:dyDescent="0.3">
      <c r="A465" t="s">
        <v>14</v>
      </c>
      <c r="D465" s="1" t="str">
        <f t="shared" ref="D465:D516" si="24">D464</f>
        <v>Philadelphia, PA</v>
      </c>
      <c r="F465" s="1" t="str">
        <f>"""BC Live Database"",""Gurrentz"",""50013"",""20"",""PHIL"",""1"",""OLFM"",""10"",""152"",""40"",""AU"""</f>
        <v>"BC Live Database","Gurrentz","50013","20","PHIL","1","OLFM","10","152","40","AU"</v>
      </c>
      <c r="G465" s="3">
        <v>44601</v>
      </c>
      <c r="H465" t="str">
        <f>"Oluf Maersk"</f>
        <v>Oluf Maersk</v>
      </c>
      <c r="I465" t="str">
        <f>"152"</f>
        <v>152</v>
      </c>
    </row>
    <row r="466" spans="1:9" x14ac:dyDescent="0.3">
      <c r="A466" t="s">
        <v>14</v>
      </c>
      <c r="D466" s="1" t="str">
        <f t="shared" si="24"/>
        <v>Philadelphia, PA</v>
      </c>
      <c r="F466" s="1" t="str">
        <f>"""BC Live Database"",""Gurrentz"",""50013"",""20"",""PHIL"",""1"",""OLFM"",""10"",""152"",""40"",""NZ"""</f>
        <v>"BC Live Database","Gurrentz","50013","20","PHIL","1","OLFM","10","152","40","NZ"</v>
      </c>
      <c r="G466" s="3">
        <v>44601</v>
      </c>
      <c r="H466" t="str">
        <f>"Oluf Maersk"</f>
        <v>Oluf Maersk</v>
      </c>
      <c r="I466" t="str">
        <f>"152"</f>
        <v>152</v>
      </c>
    </row>
    <row r="467" spans="1:9" x14ac:dyDescent="0.3">
      <c r="A467" t="s">
        <v>14</v>
      </c>
      <c r="D467" s="1" t="str">
        <f t="shared" si="24"/>
        <v>Philadelphia, PA</v>
      </c>
      <c r="F467" s="1" t="str">
        <f>"""BC Live Database"",""Gurrentz"",""50013"",""20"",""PHIL"",""1"",""MAIP"",""10"",""202"",""40"",""UY"""</f>
        <v>"BC Live Database","Gurrentz","50013","20","PHIL","1","MAIP","10","202","40","UY"</v>
      </c>
      <c r="G467" s="3">
        <v>44603</v>
      </c>
      <c r="H467" t="str">
        <f>"Maipo"</f>
        <v>Maipo</v>
      </c>
      <c r="I467" t="str">
        <f>"202"</f>
        <v>202</v>
      </c>
    </row>
    <row r="468" spans="1:9" x14ac:dyDescent="0.3">
      <c r="A468" t="s">
        <v>14</v>
      </c>
      <c r="D468" s="1" t="str">
        <f t="shared" si="24"/>
        <v>Philadelphia, PA</v>
      </c>
      <c r="F468" s="1" t="str">
        <f>"""BC Live Database"",""Gurrentz"",""50013"",""20"",""PHIL"",""1"",""CSMA"",""10"",""201"",""40"",""UY"""</f>
        <v>"BC Live Database","Gurrentz","50013","20","PHIL","1","CSMA","10","201","40","UY"</v>
      </c>
      <c r="G468" s="3">
        <v>44605</v>
      </c>
      <c r="H468" t="str">
        <f>"Cap San Maleas"</f>
        <v>Cap San Maleas</v>
      </c>
      <c r="I468" t="str">
        <f>"201"</f>
        <v>201</v>
      </c>
    </row>
    <row r="469" spans="1:9" x14ac:dyDescent="0.3">
      <c r="A469" t="s">
        <v>14</v>
      </c>
      <c r="D469" s="1" t="str">
        <f t="shared" si="24"/>
        <v>Philadelphia, PA</v>
      </c>
      <c r="F469" s="1" t="str">
        <f>"""BC Live Database"",""Gurrentz"",""50013"",""20"",""PHIL"",""1"",""GALA"",""10"",""205"",""40"",""NI"""</f>
        <v>"BC Live Database","Gurrentz","50013","20","PHIL","1","GALA","10","205","40","NI"</v>
      </c>
      <c r="G469" s="3">
        <v>44606</v>
      </c>
      <c r="H469" t="str">
        <f>"Galani"</f>
        <v>Galani</v>
      </c>
      <c r="I469" t="str">
        <f>"205"</f>
        <v>205</v>
      </c>
    </row>
    <row r="470" spans="1:9" x14ac:dyDescent="0.3">
      <c r="A470" t="s">
        <v>14</v>
      </c>
      <c r="D470" s="1" t="str">
        <f t="shared" si="24"/>
        <v>Philadelphia, PA</v>
      </c>
      <c r="F470" s="1" t="str">
        <f>"""BC Live Database"",""Gurrentz"",""50013"",""20"",""PHIL"",""1"",""HELLA"",""10"",""150"",""40"",""BR"""</f>
        <v>"BC Live Database","Gurrentz","50013","20","PHIL","1","HELLA","10","150","40","BR"</v>
      </c>
      <c r="G470" s="3">
        <v>44607</v>
      </c>
      <c r="H470" t="str">
        <f>"Hella"</f>
        <v>Hella</v>
      </c>
      <c r="I470" t="str">
        <f>"150"</f>
        <v>150</v>
      </c>
    </row>
    <row r="471" spans="1:9" x14ac:dyDescent="0.3">
      <c r="A471" t="s">
        <v>14</v>
      </c>
      <c r="D471" s="1" t="str">
        <f t="shared" si="24"/>
        <v>Philadelphia, PA</v>
      </c>
      <c r="F471" s="1" t="str">
        <f>"""BC Live Database"",""Gurrentz"",""50013"",""20"",""PHIL"",""1"",""SPAU"",""10"",""201"",""40"",""AU"""</f>
        <v>"BC Live Database","Gurrentz","50013","20","PHIL","1","SPAU","10","201","40","AU"</v>
      </c>
      <c r="G471" s="3">
        <v>44607</v>
      </c>
      <c r="H471" t="str">
        <f>"Spirit of Auckland"</f>
        <v>Spirit of Auckland</v>
      </c>
      <c r="I471" t="str">
        <f>"201"</f>
        <v>201</v>
      </c>
    </row>
    <row r="472" spans="1:9" x14ac:dyDescent="0.3">
      <c r="A472" t="s">
        <v>14</v>
      </c>
      <c r="D472" s="1" t="str">
        <f t="shared" si="24"/>
        <v>Philadelphia, PA</v>
      </c>
      <c r="F472" s="1" t="str">
        <f>"""BC Live Database"",""Gurrentz"",""50013"",""20"",""PHIL"",""1"",""SPAU"",""10"",""201"",""40"",""NZ"""</f>
        <v>"BC Live Database","Gurrentz","50013","20","PHIL","1","SPAU","10","201","40","NZ"</v>
      </c>
      <c r="G472" s="3">
        <v>44607</v>
      </c>
      <c r="H472" t="str">
        <f>"Spirit of Auckland"</f>
        <v>Spirit of Auckland</v>
      </c>
      <c r="I472" t="str">
        <f>"201"</f>
        <v>201</v>
      </c>
    </row>
    <row r="473" spans="1:9" x14ac:dyDescent="0.3">
      <c r="A473" t="s">
        <v>14</v>
      </c>
      <c r="D473" s="1" t="str">
        <f t="shared" si="24"/>
        <v>Philadelphia, PA</v>
      </c>
      <c r="F473" s="1" t="str">
        <f>"""BC Live Database"",""Gurrentz"",""50013"",""20"",""PHIL"",""1"",""SPHA"",""10"",""201"",""40"",""BR"""</f>
        <v>"BC Live Database","Gurrentz","50013","20","PHIL","1","SPHA","10","201","40","BR"</v>
      </c>
      <c r="G473" s="3">
        <v>44607</v>
      </c>
      <c r="H473" t="str">
        <f>"Spirit of Hamburg"</f>
        <v>Spirit of Hamburg</v>
      </c>
      <c r="I473" t="str">
        <f>"201"</f>
        <v>201</v>
      </c>
    </row>
    <row r="474" spans="1:9" x14ac:dyDescent="0.3">
      <c r="A474" t="s">
        <v>14</v>
      </c>
      <c r="D474" s="1" t="str">
        <f t="shared" si="24"/>
        <v>Philadelphia, PA</v>
      </c>
      <c r="F474" s="1" t="str">
        <f>"""BC Live Database"",""Gurrentz"",""50013"",""20"",""PHIL"",""1"",""AGDI"",""10"",""152"",""40"",""UY"""</f>
        <v>"BC Live Database","Gurrentz","50013","20","PHIL","1","AGDI","10","152","40","UY"</v>
      </c>
      <c r="G474" s="3">
        <v>44609</v>
      </c>
      <c r="H474" t="str">
        <f>"Agios Dimitrios"</f>
        <v>Agios Dimitrios</v>
      </c>
      <c r="I474" t="str">
        <f>"152"</f>
        <v>152</v>
      </c>
    </row>
    <row r="475" spans="1:9" x14ac:dyDescent="0.3">
      <c r="A475" t="s">
        <v>14</v>
      </c>
      <c r="D475" s="1" t="str">
        <f t="shared" si="24"/>
        <v>Philadelphia, PA</v>
      </c>
      <c r="F475" s="1" t="str">
        <f>"""BC Live Database"",""Gurrentz"",""50013"",""20"",""PHIL"",""1"",""MSCE"",""10"",""205"",""40"",""UY"""</f>
        <v>"BC Live Database","Gurrentz","50013","20","PHIL","1","MSCE","10","205","40","UY"</v>
      </c>
      <c r="G475" s="3">
        <v>44609</v>
      </c>
      <c r="H475" t="str">
        <f>"MSC Celine"</f>
        <v>MSC Celine</v>
      </c>
      <c r="I475" t="str">
        <f>"205"</f>
        <v>205</v>
      </c>
    </row>
    <row r="476" spans="1:9" x14ac:dyDescent="0.3">
      <c r="A476" t="s">
        <v>14</v>
      </c>
      <c r="D476" s="1" t="str">
        <f t="shared" si="24"/>
        <v>Philadelphia, PA</v>
      </c>
      <c r="F476" s="1" t="str">
        <f>"""BC Live Database"",""Gurrentz"",""50013"",""20"",""PHIL"",""1"",""MSOL"",""10"",""206"",""40"",""BR"""</f>
        <v>"BC Live Database","Gurrentz","50013","20","PHIL","1","MSOL","10","206","40","BR"</v>
      </c>
      <c r="G476" s="3">
        <v>44609</v>
      </c>
      <c r="H476" t="str">
        <f>"MSC Olia"</f>
        <v>MSC Olia</v>
      </c>
      <c r="I476" t="str">
        <f>"206"</f>
        <v>206</v>
      </c>
    </row>
    <row r="477" spans="1:9" x14ac:dyDescent="0.3">
      <c r="A477" t="s">
        <v>14</v>
      </c>
      <c r="D477" s="1" t="str">
        <f t="shared" si="24"/>
        <v>Philadelphia, PA</v>
      </c>
      <c r="F477" s="1" t="str">
        <f>"""BC Live Database"",""Gurrentz"",""50013"",""20"",""PHIL"",""1"",""MARI"",""10"",""1548"",""40"",""AU"""</f>
        <v>"BC Live Database","Gurrentz","50013","20","PHIL","1","MARI","10","1548","40","AU"</v>
      </c>
      <c r="G477" s="3">
        <v>44610</v>
      </c>
      <c r="H477" t="str">
        <f>"Mariner"</f>
        <v>Mariner</v>
      </c>
      <c r="I477" t="str">
        <f>"1548"</f>
        <v>1548</v>
      </c>
    </row>
    <row r="478" spans="1:9" x14ac:dyDescent="0.3">
      <c r="A478" t="s">
        <v>14</v>
      </c>
      <c r="D478" s="1" t="str">
        <f t="shared" si="24"/>
        <v>Philadelphia, PA</v>
      </c>
      <c r="F478" s="1" t="str">
        <f>"""BC Live Database"",""Gurrentz"",""50013"",""20"",""PHIL"",""1"",""MARI"",""10"",""1548"",""40"",""NZ"""</f>
        <v>"BC Live Database","Gurrentz","50013","20","PHIL","1","MARI","10","1548","40","NZ"</v>
      </c>
      <c r="G478" s="3">
        <v>44610</v>
      </c>
      <c r="H478" t="str">
        <f>"Mariner"</f>
        <v>Mariner</v>
      </c>
      <c r="I478" t="str">
        <f>"1548"</f>
        <v>1548</v>
      </c>
    </row>
    <row r="479" spans="1:9" x14ac:dyDescent="0.3">
      <c r="A479" t="s">
        <v>14</v>
      </c>
      <c r="D479" s="1" t="str">
        <f t="shared" si="24"/>
        <v>Philadelphia, PA</v>
      </c>
      <c r="F479" s="1" t="str">
        <f>"""BC Live Database"",""Gurrentz"",""50013"",""20"",""PHIL"",""1"",""MOAZ"",""10"",""203"",""40"",""BR"""</f>
        <v>"BC Live Database","Gurrentz","50013","20","PHIL","1","MOAZ","10","203","40","BR"</v>
      </c>
      <c r="G479" s="3">
        <v>44612</v>
      </c>
      <c r="H479" t="str">
        <f>"Monte Azul"</f>
        <v>Monte Azul</v>
      </c>
      <c r="I479" t="str">
        <f>"203"</f>
        <v>203</v>
      </c>
    </row>
    <row r="480" spans="1:9" x14ac:dyDescent="0.3">
      <c r="A480" t="s">
        <v>14</v>
      </c>
      <c r="D480" s="1" t="str">
        <f t="shared" si="24"/>
        <v>Philadelphia, PA</v>
      </c>
      <c r="F480" s="1" t="str">
        <f>"""BC Live Database"",""Gurrentz"",""50013"",""20"",""PHIL"",""1"",""MSDA"",""10"",""202"",""40"",""BR"""</f>
        <v>"BC Live Database","Gurrentz","50013","20","PHIL","1","MSDA","10","202","40","BR"</v>
      </c>
      <c r="G480" s="3">
        <v>44612</v>
      </c>
      <c r="H480" t="str">
        <f>"MSC Dardanelles"</f>
        <v>MSC Dardanelles</v>
      </c>
      <c r="I480" t="str">
        <f>"202"</f>
        <v>202</v>
      </c>
    </row>
    <row r="481" spans="1:9" x14ac:dyDescent="0.3">
      <c r="A481" t="s">
        <v>14</v>
      </c>
      <c r="D481" s="1" t="str">
        <f t="shared" si="24"/>
        <v>Philadelphia, PA</v>
      </c>
      <c r="F481" s="1" t="str">
        <f>"""BC Live Database"",""Gurrentz"",""50013"",""20"",""PHIL"",""1"",""HASA"",""10"",""206"",""40"",""NI"""</f>
        <v>"BC Live Database","Gurrentz","50013","20","PHIL","1","HASA","10","206","40","NI"</v>
      </c>
      <c r="G481" s="3">
        <v>44613</v>
      </c>
      <c r="H481" t="str">
        <f>"Hansa Salzburg"</f>
        <v>Hansa Salzburg</v>
      </c>
      <c r="I481" t="str">
        <f>"206"</f>
        <v>206</v>
      </c>
    </row>
    <row r="482" spans="1:9" x14ac:dyDescent="0.3">
      <c r="A482" t="s">
        <v>14</v>
      </c>
      <c r="D482" s="1" t="str">
        <f t="shared" si="24"/>
        <v>Philadelphia, PA</v>
      </c>
      <c r="F482" s="1" t="str">
        <f>"""BC Live Database"",""Gurrentz"",""50013"",""20"",""PHIL"",""1"",""OLGM"",""10"",""202"",""40"",""AU"""</f>
        <v>"BC Live Database","Gurrentz","50013","20","PHIL","1","OLGM","10","202","40","AU"</v>
      </c>
      <c r="G482" s="3">
        <v>44614</v>
      </c>
      <c r="H482" t="str">
        <f>"Olga Maersk"</f>
        <v>Olga Maersk</v>
      </c>
      <c r="I482" t="str">
        <f>"202"</f>
        <v>202</v>
      </c>
    </row>
    <row r="483" spans="1:9" x14ac:dyDescent="0.3">
      <c r="A483" t="s">
        <v>14</v>
      </c>
      <c r="D483" s="1" t="str">
        <f t="shared" si="24"/>
        <v>Philadelphia, PA</v>
      </c>
      <c r="F483" s="1" t="str">
        <f>"""BC Live Database"",""Gurrentz"",""50013"",""20"",""PHIL"",""1"",""OLGM"",""10"",""202"",""40"",""NZ"""</f>
        <v>"BC Live Database","Gurrentz","50013","20","PHIL","1","OLGM","10","202","40","NZ"</v>
      </c>
      <c r="G483" s="3">
        <v>44614</v>
      </c>
      <c r="H483" t="str">
        <f>"Olga Maersk"</f>
        <v>Olga Maersk</v>
      </c>
      <c r="I483" t="str">
        <f>"202"</f>
        <v>202</v>
      </c>
    </row>
    <row r="484" spans="1:9" x14ac:dyDescent="0.3">
      <c r="A484" t="s">
        <v>14</v>
      </c>
      <c r="D484" s="1" t="str">
        <f t="shared" si="24"/>
        <v>Philadelphia, PA</v>
      </c>
      <c r="F484" s="1" t="str">
        <f>"""BC Live Database"",""Gurrentz"",""50013"",""20"",""PHIL"",""1"",""POSK"",""10"",""206"",""40"",""UY"""</f>
        <v>"BC Live Database","Gurrentz","50013","20","PHIL","1","POSK","10","206","40","UY"</v>
      </c>
      <c r="G484" s="3">
        <v>44614</v>
      </c>
      <c r="H484" t="str">
        <f>"Pomerenia Sky"</f>
        <v>Pomerenia Sky</v>
      </c>
      <c r="I484" t="str">
        <f>"206"</f>
        <v>206</v>
      </c>
    </row>
    <row r="485" spans="1:9" x14ac:dyDescent="0.3">
      <c r="A485" t="s">
        <v>14</v>
      </c>
      <c r="D485" s="1" t="str">
        <f t="shared" si="24"/>
        <v>Philadelphia, PA</v>
      </c>
      <c r="F485" s="1" t="str">
        <f>"""BC Live Database"",""Gurrentz"",""50013"",""20"",""PHIL"",""1"",""MOVE"",""10"",""204"",""40"",""BR"""</f>
        <v>"BC Live Database","Gurrentz","50013","20","PHIL","1","MOVE","10","204","40","BR"</v>
      </c>
      <c r="G485" s="3">
        <v>44616</v>
      </c>
      <c r="H485" t="str">
        <f>"Monte Verde"</f>
        <v>Monte Verde</v>
      </c>
      <c r="I485" t="str">
        <f>"204"</f>
        <v>204</v>
      </c>
    </row>
    <row r="486" spans="1:9" x14ac:dyDescent="0.3">
      <c r="A486" t="s">
        <v>14</v>
      </c>
      <c r="D486" s="1" t="str">
        <f t="shared" si="24"/>
        <v>Philadelphia, PA</v>
      </c>
      <c r="F486" s="1" t="str">
        <f>"""BC Live Database"",""Gurrentz"",""50013"",""20"",""PHIL"",""1"",""TAWI"",""10"",""203"",""40"",""UY"""</f>
        <v>"BC Live Database","Gurrentz","50013","20","PHIL","1","TAWI","10","203","40","UY"</v>
      </c>
      <c r="G486" s="3">
        <v>44617</v>
      </c>
      <c r="H486" t="str">
        <f>"MSC Tawishi "</f>
        <v xml:space="preserve">MSC Tawishi </v>
      </c>
      <c r="I486" t="str">
        <f>"203"</f>
        <v>203</v>
      </c>
    </row>
    <row r="487" spans="1:9" x14ac:dyDescent="0.3">
      <c r="A487" t="s">
        <v>14</v>
      </c>
      <c r="D487" s="1" t="str">
        <f t="shared" si="24"/>
        <v>Philadelphia, PA</v>
      </c>
      <c r="F487" s="1" t="str">
        <f>"""BC Live Database"",""Gurrentz"",""50013"",""20"",""PHIL"",""1"",""GRST"",""10"",""53"",""40"",""NI"""</f>
        <v>"BC Live Database","Gurrentz","50013","20","PHIL","1","GRST","10","53","40","NI"</v>
      </c>
      <c r="G487" s="3">
        <v>44620</v>
      </c>
      <c r="H487" t="str">
        <f>"Green Star"</f>
        <v>Green Star</v>
      </c>
      <c r="I487" t="str">
        <f>"53"</f>
        <v>53</v>
      </c>
    </row>
    <row r="488" spans="1:9" x14ac:dyDescent="0.3">
      <c r="A488" t="s">
        <v>14</v>
      </c>
      <c r="D488" s="1" t="str">
        <f t="shared" si="24"/>
        <v>Philadelphia, PA</v>
      </c>
      <c r="F488" s="1" t="str">
        <f>"""BC Live Database"",""Gurrentz"",""50013"",""20"",""PHIL"",""1"",""SAAL"",""10"",""207"",""40"",""NI"""</f>
        <v>"BC Live Database","Gurrentz","50013","20","PHIL","1","SAAL","10","207","40","NI"</v>
      </c>
      <c r="G488" s="3">
        <v>44620</v>
      </c>
      <c r="H488" t="str">
        <f>"San Alberto"</f>
        <v>San Alberto</v>
      </c>
      <c r="I488" t="str">
        <f>"207"</f>
        <v>207</v>
      </c>
    </row>
    <row r="489" spans="1:9" x14ac:dyDescent="0.3">
      <c r="A489" t="s">
        <v>14</v>
      </c>
      <c r="D489" s="1" t="str">
        <f t="shared" si="24"/>
        <v>Philadelphia, PA</v>
      </c>
      <c r="F489" s="1" t="str">
        <f>"""BC Live Database"",""Gurrentz"",""50013"",""20"",""PHIL"",""1"",""SPME"",""10"",""203"",""40"",""AU"""</f>
        <v>"BC Live Database","Gurrentz","50013","20","PHIL","1","SPME","10","203","40","AU"</v>
      </c>
      <c r="G489" s="3">
        <v>44621</v>
      </c>
      <c r="H489" t="str">
        <f>"Spirit of Melbourne"</f>
        <v>Spirit of Melbourne</v>
      </c>
      <c r="I489" t="str">
        <f>"203"</f>
        <v>203</v>
      </c>
    </row>
    <row r="490" spans="1:9" x14ac:dyDescent="0.3">
      <c r="A490" t="s">
        <v>14</v>
      </c>
      <c r="D490" s="1" t="str">
        <f t="shared" si="24"/>
        <v>Philadelphia, PA</v>
      </c>
      <c r="F490" s="1" t="str">
        <f>"""BC Live Database"",""Gurrentz"",""50013"",""20"",""PHIL"",""1"",""SPME"",""10"",""203"",""40"",""NZ"""</f>
        <v>"BC Live Database","Gurrentz","50013","20","PHIL","1","SPME","10","203","40","NZ"</v>
      </c>
      <c r="G490" s="3">
        <v>44621</v>
      </c>
      <c r="H490" t="str">
        <f>"Spirit of Melbourne"</f>
        <v>Spirit of Melbourne</v>
      </c>
      <c r="I490" t="str">
        <f>"203"</f>
        <v>203</v>
      </c>
    </row>
    <row r="491" spans="1:9" x14ac:dyDescent="0.3">
      <c r="A491" t="s">
        <v>14</v>
      </c>
      <c r="D491" s="1" t="str">
        <f t="shared" si="24"/>
        <v>Philadelphia, PA</v>
      </c>
      <c r="F491" s="1" t="str">
        <f>"""BC Live Database"",""Gurrentz"",""50013"",""20"",""PHIL"",""1"",""MSVI"",""10"",""205"",""40"",""AR"""</f>
        <v>"BC Live Database","Gurrentz","50013","20","PHIL","1","MSVI","10","205","40","AR"</v>
      </c>
      <c r="G491" s="3">
        <v>44622</v>
      </c>
      <c r="H491" t="str">
        <f>"MSC Vigo"</f>
        <v>MSC Vigo</v>
      </c>
      <c r="I491" t="str">
        <f>"205"</f>
        <v>205</v>
      </c>
    </row>
    <row r="492" spans="1:9" x14ac:dyDescent="0.3">
      <c r="A492" t="s">
        <v>14</v>
      </c>
      <c r="D492" s="1" t="str">
        <f t="shared" si="24"/>
        <v>Philadelphia, PA</v>
      </c>
      <c r="F492" s="1" t="str">
        <f>"""BC Live Database"",""Gurrentz"",""50013"",""20"",""PHIL"",""1"",""MARU"",""10"",""1550"",""40"",""AU"""</f>
        <v>"BC Live Database","Gurrentz","50013","20","PHIL","1","MARU","10","1550","40","AU"</v>
      </c>
      <c r="G492" s="3">
        <v>44624</v>
      </c>
      <c r="H492" t="str">
        <f>"Marius"</f>
        <v>Marius</v>
      </c>
      <c r="I492" t="str">
        <f>"1550"</f>
        <v>1550</v>
      </c>
    </row>
    <row r="493" spans="1:9" x14ac:dyDescent="0.3">
      <c r="A493" t="s">
        <v>14</v>
      </c>
      <c r="D493" s="1" t="str">
        <f t="shared" si="24"/>
        <v>Philadelphia, PA</v>
      </c>
      <c r="F493" s="1" t="str">
        <f>"""BC Live Database"",""Gurrentz"",""50013"",""20"",""PHIL"",""1"",""MARU"",""10"",""1550"",""40"",""NZ"""</f>
        <v>"BC Live Database","Gurrentz","50013","20","PHIL","1","MARU","10","1550","40","NZ"</v>
      </c>
      <c r="G493" s="3">
        <v>44624</v>
      </c>
      <c r="H493" t="str">
        <f>"Marius"</f>
        <v>Marius</v>
      </c>
      <c r="I493" t="str">
        <f>"1550"</f>
        <v>1550</v>
      </c>
    </row>
    <row r="494" spans="1:9" x14ac:dyDescent="0.3">
      <c r="A494" t="s">
        <v>14</v>
      </c>
      <c r="D494" s="1" t="str">
        <f t="shared" si="24"/>
        <v>Philadelphia, PA</v>
      </c>
      <c r="F494" s="1" t="str">
        <f>"""BC Live Database"",""Gurrentz"",""50013"",""20"",""PHIL"",""1"",""DUEX"",""10"",""205"",""40"",""BR"""</f>
        <v>"BC Live Database","Gurrentz","50013","20","PHIL","1","DUEX","10","205","40","BR"</v>
      </c>
      <c r="G494" s="3">
        <v>44625</v>
      </c>
      <c r="H494" t="str">
        <f>"Dublin Express"</f>
        <v>Dublin Express</v>
      </c>
      <c r="I494" t="str">
        <f>"205"</f>
        <v>205</v>
      </c>
    </row>
    <row r="495" spans="1:9" x14ac:dyDescent="0.3">
      <c r="A495" t="s">
        <v>14</v>
      </c>
      <c r="D495" s="1" t="str">
        <f t="shared" si="24"/>
        <v>Philadelphia, PA</v>
      </c>
      <c r="F495" s="1" t="str">
        <f>"""BC Live Database"",""Gurrentz"",""50013"",""20"",""PHIL"",""1"",""MABI"",""10"",""204"",""40"",""AU"""</f>
        <v>"BC Live Database","Gurrentz","50013","20","PHIL","1","MABI","10","204","40","AU"</v>
      </c>
      <c r="G495" s="3">
        <v>44628</v>
      </c>
      <c r="H495" t="str">
        <f>"Maersk Bintan"</f>
        <v>Maersk Bintan</v>
      </c>
      <c r="I495" t="str">
        <f>"204"</f>
        <v>204</v>
      </c>
    </row>
    <row r="496" spans="1:9" x14ac:dyDescent="0.3">
      <c r="A496" t="s">
        <v>14</v>
      </c>
      <c r="D496" s="1" t="str">
        <f t="shared" si="24"/>
        <v>Philadelphia, PA</v>
      </c>
      <c r="F496" s="1" t="str">
        <f>"""BC Live Database"",""Gurrentz"",""50013"",""20"",""PHIL"",""1"",""MABI"",""10"",""204"",""40"",""NZ"""</f>
        <v>"BC Live Database","Gurrentz","50013","20","PHIL","1","MABI","10","204","40","NZ"</v>
      </c>
      <c r="G496" s="3">
        <v>44628</v>
      </c>
      <c r="H496" t="str">
        <f>"Maersk Bintan"</f>
        <v>Maersk Bintan</v>
      </c>
      <c r="I496" t="str">
        <f>"204"</f>
        <v>204</v>
      </c>
    </row>
    <row r="497" spans="1:9" x14ac:dyDescent="0.3">
      <c r="A497" t="s">
        <v>14</v>
      </c>
      <c r="D497" s="1" t="str">
        <f t="shared" si="24"/>
        <v>Philadelphia, PA</v>
      </c>
      <c r="F497" s="1" t="str">
        <f>"""BC Live Database"",""Gurrentz"",""50013"",""20"",""PHIL"",""1"",""ACON"",""10"",""207"",""40"",""BR"""</f>
        <v>"BC Live Database","Gurrentz","50013","20","PHIL","1","ACON","10","207","40","BR"</v>
      </c>
      <c r="G497" s="3">
        <v>44630</v>
      </c>
      <c r="H497" t="str">
        <f>"Monte Aconcagua"</f>
        <v>Monte Aconcagua</v>
      </c>
      <c r="I497" t="str">
        <f>"207"</f>
        <v>207</v>
      </c>
    </row>
    <row r="498" spans="1:9" x14ac:dyDescent="0.3">
      <c r="A498" t="s">
        <v>14</v>
      </c>
      <c r="D498" s="1" t="str">
        <f t="shared" si="24"/>
        <v>Philadelphia, PA</v>
      </c>
      <c r="F498" s="1" t="str">
        <f>"""BC Live Database"",""Gurrentz"",""50013"",""20"",""PHIL"",""1"",""BOPR"",""10"",""202"",""40"",""BR"""</f>
        <v>"BC Live Database","Gurrentz","50013","20","PHIL","1","BOPR","10","202","40","BR"</v>
      </c>
      <c r="G498" s="3">
        <v>44630</v>
      </c>
      <c r="H498" t="str">
        <f>"Bomar Praia"</f>
        <v>Bomar Praia</v>
      </c>
      <c r="I498" t="str">
        <f>"202"</f>
        <v>202</v>
      </c>
    </row>
    <row r="499" spans="1:9" x14ac:dyDescent="0.3">
      <c r="A499" t="s">
        <v>14</v>
      </c>
      <c r="D499" s="1" t="str">
        <f t="shared" si="24"/>
        <v>Philadelphia, PA</v>
      </c>
      <c r="F499" s="1" t="str">
        <f>"""BC Live Database"",""Gurrentz"",""50013"",""20"",""PHIL"",""1"",""MBAR"",""10"",""204"",""40"",""BR"""</f>
        <v>"BC Live Database","Gurrentz","50013","20","PHIL","1","MBAR","10","204","40","BR"</v>
      </c>
      <c r="G499" s="3">
        <v>44630</v>
      </c>
      <c r="H499" t="str">
        <f>"MSC Barbara"</f>
        <v>MSC Barbara</v>
      </c>
      <c r="I499" t="str">
        <f>"204"</f>
        <v>204</v>
      </c>
    </row>
    <row r="500" spans="1:9" x14ac:dyDescent="0.3">
      <c r="A500" t="s">
        <v>14</v>
      </c>
      <c r="D500" s="1" t="str">
        <f t="shared" si="24"/>
        <v>Philadelphia, PA</v>
      </c>
      <c r="F500" s="1" t="str">
        <f>"""BC Live Database"",""Gurrentz"",""50013"",""20"",""PHIL"",""1"",""MOOL"",""10"",""206"",""40"",""BR"""</f>
        <v>"BC Live Database","Gurrentz","50013","20","PHIL","1","MOOL","10","206","40","BR"</v>
      </c>
      <c r="G500" s="3">
        <v>44633</v>
      </c>
      <c r="H500" t="str">
        <f>"Monte Olivia"</f>
        <v>Monte Olivia</v>
      </c>
      <c r="I500" t="str">
        <f>"206"</f>
        <v>206</v>
      </c>
    </row>
    <row r="501" spans="1:9" x14ac:dyDescent="0.3">
      <c r="A501" t="s">
        <v>14</v>
      </c>
      <c r="D501" s="1" t="str">
        <f t="shared" si="24"/>
        <v>Philadelphia, PA</v>
      </c>
      <c r="F501" s="1" t="str">
        <f>"""BC Live Database"",""Gurrentz"",""50013"",""20"",""PHIL"",""1"",""MOOL"",""10"",""206"",""40"",""UY"""</f>
        <v>"BC Live Database","Gurrentz","50013","20","PHIL","1","MOOL","10","206","40","UY"</v>
      </c>
      <c r="G501" s="3">
        <v>44633</v>
      </c>
      <c r="H501" t="str">
        <f>"Monte Olivia"</f>
        <v>Monte Olivia</v>
      </c>
      <c r="I501" t="str">
        <f>"206"</f>
        <v>206</v>
      </c>
    </row>
    <row r="502" spans="1:9" x14ac:dyDescent="0.3">
      <c r="A502" t="s">
        <v>14</v>
      </c>
      <c r="D502" s="1" t="str">
        <f t="shared" si="24"/>
        <v>Philadelphia, PA</v>
      </c>
      <c r="F502" s="1" t="str">
        <f>"""BC Live Database"",""Gurrentz"",""50013"",""20"",""PHIL"",""1"",""BOGO"",""10"",""205"",""40"",""AU"""</f>
        <v>"BC Live Database","Gurrentz","50013","20","PHIL","1","BOGO","10","205","40","AU"</v>
      </c>
      <c r="G502" s="3">
        <v>44635</v>
      </c>
      <c r="H502" t="str">
        <f>"Maersk Bogor"</f>
        <v>Maersk Bogor</v>
      </c>
      <c r="I502" t="str">
        <f>"205"</f>
        <v>205</v>
      </c>
    </row>
    <row r="503" spans="1:9" x14ac:dyDescent="0.3">
      <c r="A503" t="s">
        <v>14</v>
      </c>
      <c r="D503" s="1" t="str">
        <f t="shared" si="24"/>
        <v>Philadelphia, PA</v>
      </c>
      <c r="F503" s="1" t="str">
        <f>"""BC Live Database"",""Gurrentz"",""50013"",""20"",""PHIL"",""1"",""BOGO"",""10"",""205"",""40"",""NZ"""</f>
        <v>"BC Live Database","Gurrentz","50013","20","PHIL","1","BOGO","10","205","40","NZ"</v>
      </c>
      <c r="G503" s="3">
        <v>44635</v>
      </c>
      <c r="H503" t="str">
        <f>"Maersk Bogor"</f>
        <v>Maersk Bogor</v>
      </c>
      <c r="I503" t="str">
        <f>"205"</f>
        <v>205</v>
      </c>
    </row>
    <row r="504" spans="1:9" x14ac:dyDescent="0.3">
      <c r="A504" t="s">
        <v>14</v>
      </c>
      <c r="D504" s="1" t="str">
        <f t="shared" si="24"/>
        <v>Philadelphia, PA</v>
      </c>
      <c r="F504" s="1" t="str">
        <f>"""BC Live Database"",""Gurrentz"",""50013"",""20"",""PHIL"",""1"",""EXBR"",""10"",""207"",""40"",""BR"""</f>
        <v>"BC Live Database","Gurrentz","50013","20","PHIL","1","EXBR","10","207","40","BR"</v>
      </c>
      <c r="G504" s="3">
        <v>44635</v>
      </c>
      <c r="H504" t="str">
        <f>"Express Brazil"</f>
        <v>Express Brazil</v>
      </c>
      <c r="I504" t="str">
        <f>"207"</f>
        <v>207</v>
      </c>
    </row>
    <row r="505" spans="1:9" x14ac:dyDescent="0.3">
      <c r="A505" t="s">
        <v>14</v>
      </c>
      <c r="D505" s="1" t="str">
        <f t="shared" si="24"/>
        <v>Philadelphia, PA</v>
      </c>
      <c r="F505" s="1" t="str">
        <f>"""BC Live Database"",""Gurrentz"",""50013"",""20"",""PHIL"",""1"",""MAJE"",""10"",""1552"",""40"",""AU"""</f>
        <v>"BC Live Database","Gurrentz","50013","20","PHIL","1","MAJE","10","1552","40","AU"</v>
      </c>
      <c r="G505" s="3">
        <v>44637</v>
      </c>
      <c r="H505" t="str">
        <f>"Majestic"</f>
        <v>Majestic</v>
      </c>
      <c r="I505" t="str">
        <f>"1552"</f>
        <v>1552</v>
      </c>
    </row>
    <row r="506" spans="1:9" x14ac:dyDescent="0.3">
      <c r="A506" t="s">
        <v>14</v>
      </c>
      <c r="D506" s="1" t="str">
        <f t="shared" si="24"/>
        <v>Philadelphia, PA</v>
      </c>
      <c r="F506" s="1" t="str">
        <f>"""BC Live Database"",""Gurrentz"",""50013"",""20"",""PHIL"",""1"",""MAJE"",""10"",""1552"",""40"",""NZ"""</f>
        <v>"BC Live Database","Gurrentz","50013","20","PHIL","1","MAJE","10","1552","40","NZ"</v>
      </c>
      <c r="G506" s="3">
        <v>44637</v>
      </c>
      <c r="H506" t="str">
        <f>"Majestic"</f>
        <v>Majestic</v>
      </c>
      <c r="I506" t="str">
        <f>"1552"</f>
        <v>1552</v>
      </c>
    </row>
    <row r="507" spans="1:9" x14ac:dyDescent="0.3">
      <c r="A507" t="s">
        <v>14</v>
      </c>
      <c r="D507" s="1" t="str">
        <f t="shared" si="24"/>
        <v>Philadelphia, PA</v>
      </c>
      <c r="F507" s="1" t="str">
        <f>"""BC Live Database"",""Gurrentz"",""50013"",""20"",""PHIL"",""1"",""ALEGRE"",""10"",""207"",""40"",""BR"""</f>
        <v>"BC Live Database","Gurrentz","50013","20","PHIL","1","ALEGRE","10","207","40","BR"</v>
      </c>
      <c r="G507" s="3">
        <v>44638</v>
      </c>
      <c r="H507" t="str">
        <f>"Monte Alegre"</f>
        <v>Monte Alegre</v>
      </c>
      <c r="I507" t="str">
        <f>"207"</f>
        <v>207</v>
      </c>
    </row>
    <row r="508" spans="1:9" x14ac:dyDescent="0.3">
      <c r="A508" t="s">
        <v>14</v>
      </c>
      <c r="D508" s="1" t="str">
        <f t="shared" si="24"/>
        <v>Philadelphia, PA</v>
      </c>
      <c r="F508" s="1" t="str">
        <f>"""BC Live Database"",""Gurrentz"",""50013"",""20"",""PHIL"",""1"",""MAIN"",""10"",""206"",""40"",""AU"""</f>
        <v>"BC Live Database","Gurrentz","50013","20","PHIL","1","MAIN","10","206","40","AU"</v>
      </c>
      <c r="G508" s="3">
        <v>44642</v>
      </c>
      <c r="H508" t="str">
        <f>"Maersk Inverness"</f>
        <v>Maersk Inverness</v>
      </c>
      <c r="I508" t="str">
        <f>"206"</f>
        <v>206</v>
      </c>
    </row>
    <row r="509" spans="1:9" x14ac:dyDescent="0.3">
      <c r="A509" t="s">
        <v>14</v>
      </c>
      <c r="D509" s="1" t="str">
        <f t="shared" si="24"/>
        <v>Philadelphia, PA</v>
      </c>
      <c r="F509" s="1" t="str">
        <f>"""BC Live Database"",""Gurrentz"",""50013"",""20"",""PHIL"",""1"",""MAIN"",""10"",""206"",""40"",""NZ"""</f>
        <v>"BC Live Database","Gurrentz","50013","20","PHIL","1","MAIN","10","206","40","NZ"</v>
      </c>
      <c r="G509" s="3">
        <v>44642</v>
      </c>
      <c r="H509" t="str">
        <f>"Maersk Inverness"</f>
        <v>Maersk Inverness</v>
      </c>
      <c r="I509" t="str">
        <f>"206"</f>
        <v>206</v>
      </c>
    </row>
    <row r="510" spans="1:9" x14ac:dyDescent="0.3">
      <c r="A510" t="s">
        <v>14</v>
      </c>
      <c r="D510" s="1" t="str">
        <f t="shared" si="24"/>
        <v>Philadelphia, PA</v>
      </c>
      <c r="F510" s="1" t="str">
        <f>"""BC Live Database"",""Gurrentz"",""50013"",""20"",""PHIL"",""1"",""OLIM"",""10"",""207"",""40"",""AU"""</f>
        <v>"BC Live Database","Gurrentz","50013","20","PHIL","1","OLIM","10","207","40","AU"</v>
      </c>
      <c r="G510" s="3">
        <v>44642</v>
      </c>
      <c r="H510" t="str">
        <f>"Olivia Maersk"</f>
        <v>Olivia Maersk</v>
      </c>
      <c r="I510" t="str">
        <f>"207"</f>
        <v>207</v>
      </c>
    </row>
    <row r="511" spans="1:9" x14ac:dyDescent="0.3">
      <c r="A511" t="s">
        <v>14</v>
      </c>
      <c r="D511" s="1" t="str">
        <f t="shared" si="24"/>
        <v>Philadelphia, PA</v>
      </c>
      <c r="F511" s="1" t="str">
        <f>"""BC Live Database"",""Gurrentz"",""50013"",""20"",""PHIL"",""1"",""OLIM"",""10"",""207"",""40"",""NZ"""</f>
        <v>"BC Live Database","Gurrentz","50013","20","PHIL","1","OLIM","10","207","40","NZ"</v>
      </c>
      <c r="G511" s="3">
        <v>44642</v>
      </c>
      <c r="H511" t="str">
        <f>"Olivia Maersk"</f>
        <v>Olivia Maersk</v>
      </c>
      <c r="I511" t="str">
        <f>"207"</f>
        <v>207</v>
      </c>
    </row>
    <row r="512" spans="1:9" x14ac:dyDescent="0.3">
      <c r="A512" t="s">
        <v>14</v>
      </c>
      <c r="D512" s="1" t="str">
        <f t="shared" si="24"/>
        <v>Philadelphia, PA</v>
      </c>
      <c r="F512" s="1" t="str">
        <f>"""BC Live Database"",""Gurrentz"",""50013"",""20"",""PHIL"",""1"",""MAND"",""10"",""1554"",""40"",""AU"""</f>
        <v>"BC Live Database","Gurrentz","50013","20","PHIL","1","MAND","10","1554","40","AU"</v>
      </c>
      <c r="G512" s="3">
        <v>44651</v>
      </c>
      <c r="H512" t="str">
        <f>"Mandalay"</f>
        <v>Mandalay</v>
      </c>
      <c r="I512" t="str">
        <f>"1554"</f>
        <v>1554</v>
      </c>
    </row>
    <row r="513" spans="1:9" x14ac:dyDescent="0.3">
      <c r="A513" t="s">
        <v>14</v>
      </c>
      <c r="D513" s="1" t="str">
        <f t="shared" si="24"/>
        <v>Philadelphia, PA</v>
      </c>
      <c r="F513" s="1" t="str">
        <f>"""BC Live Database"",""Gurrentz"",""50013"",""20"",""PHIL"",""1"",""MAND"",""10"",""1554"",""40"",""NZ"""</f>
        <v>"BC Live Database","Gurrentz","50013","20","PHIL","1","MAND","10","1554","40","NZ"</v>
      </c>
      <c r="G513" s="3">
        <v>44651</v>
      </c>
      <c r="H513" t="str">
        <f>"Mandalay"</f>
        <v>Mandalay</v>
      </c>
      <c r="I513" t="str">
        <f>"1554"</f>
        <v>1554</v>
      </c>
    </row>
    <row r="514" spans="1:9" x14ac:dyDescent="0.3">
      <c r="A514" t="s">
        <v>14</v>
      </c>
      <c r="D514" s="1" t="str">
        <f t="shared" si="24"/>
        <v>Philadelphia, PA</v>
      </c>
      <c r="F514" s="1" t="str">
        <f>"""BC Live Database"",""Gurrentz"",""50013"",""20"",""PHIL"",""1"",""SPSI"",""10"",""208"",""40"",""AU"""</f>
        <v>"BC Live Database","Gurrentz","50013","20","PHIL","1","SPSI","10","208","40","AU"</v>
      </c>
      <c r="G514" s="3">
        <v>44651</v>
      </c>
      <c r="H514" t="str">
        <f>"Spirit of Singapore"</f>
        <v>Spirit of Singapore</v>
      </c>
      <c r="I514" t="str">
        <f>"208"</f>
        <v>208</v>
      </c>
    </row>
    <row r="515" spans="1:9" x14ac:dyDescent="0.3">
      <c r="A515" t="s">
        <v>14</v>
      </c>
      <c r="D515" s="1" t="str">
        <f t="shared" si="24"/>
        <v>Philadelphia, PA</v>
      </c>
      <c r="F515" s="1" t="str">
        <f>"""BC Live Database"",""Gurrentz"",""50013"",""20"",""PHIL"",""1"",""SPSI"",""10"",""208"",""40"",""NZ"""</f>
        <v>"BC Live Database","Gurrentz","50013","20","PHIL","1","SPSI","10","208","40","NZ"</v>
      </c>
      <c r="G515" s="3">
        <v>44651</v>
      </c>
      <c r="H515" t="str">
        <f>"Spirit of Singapore"</f>
        <v>Spirit of Singapore</v>
      </c>
      <c r="I515" t="str">
        <f>"208"</f>
        <v>208</v>
      </c>
    </row>
    <row r="516" spans="1:9" x14ac:dyDescent="0.3">
      <c r="A516" t="s">
        <v>14</v>
      </c>
      <c r="D516" s="1" t="str">
        <f t="shared" si="24"/>
        <v>Philadelphia, PA</v>
      </c>
      <c r="F516" s="1" t="str">
        <f>"""BC Live Database"",""Gurrentz"",""50013"",""20"",""PHIL"",""1"",""BOSP"",""10"",""210"",""40"",""BR"""</f>
        <v>"BC Live Database","Gurrentz","50013","20","PHIL","1","BOSP","10","210","40","BR"</v>
      </c>
      <c r="G516" s="3">
        <v>44679</v>
      </c>
      <c r="H516" t="str">
        <f>"MSC Bosphorus"</f>
        <v>MSC Bosphorus</v>
      </c>
      <c r="I516" t="str">
        <f>"210"</f>
        <v>210</v>
      </c>
    </row>
    <row r="517" spans="1:9" x14ac:dyDescent="0.3">
      <c r="A517" t="s">
        <v>14</v>
      </c>
      <c r="D517" s="1" t="str">
        <f>D336</f>
        <v>Philadelphia, PA</v>
      </c>
    </row>
    <row r="518" spans="1:9" x14ac:dyDescent="0.3">
      <c r="A518" t="s">
        <v>14</v>
      </c>
      <c r="D518" s="1" t="str">
        <f t="shared" ref="D518" si="25">E518</f>
        <v>Savannah, GA</v>
      </c>
      <c r="E518" t="str">
        <f>"Savannah, GA"</f>
        <v>Savannah, GA</v>
      </c>
      <c r="G518" t="s">
        <v>3</v>
      </c>
      <c r="H518" t="s">
        <v>4</v>
      </c>
      <c r="I518" t="s">
        <v>5</v>
      </c>
    </row>
    <row r="519" spans="1:9" x14ac:dyDescent="0.3">
      <c r="A519" t="s">
        <v>14</v>
      </c>
      <c r="D519" s="1" t="str">
        <f t="shared" ref="D519" si="26">D518</f>
        <v>Savannah, GA</v>
      </c>
      <c r="F519" s="1" t="str">
        <f>"""BC Live Database"",""Gurrentz"",""50013"",""20"",""SAVA"",""1"",""NORB"",""10"",""054"",""40"",""NI"""</f>
        <v>"BC Live Database","Gurrentz","50013","20","SAVA","1","NORB","10","054","40","NI"</v>
      </c>
      <c r="G519" s="3">
        <v>44499</v>
      </c>
      <c r="H519" t="str">
        <f>"Norbaltic"</f>
        <v>Norbaltic</v>
      </c>
      <c r="I519" t="str">
        <f>"054"</f>
        <v>054</v>
      </c>
    </row>
    <row r="520" spans="1:9" x14ac:dyDescent="0.3">
      <c r="A520" t="s">
        <v>14</v>
      </c>
      <c r="D520" s="1" t="str">
        <f t="shared" ref="D520:D551" si="27">D519</f>
        <v>Savannah, GA</v>
      </c>
      <c r="F520" s="1" t="str">
        <f>"""BC Live Database"",""Gurrentz"",""50013"",""20"",""SAVA"",""1"",""GALE"",""10"",""142"",""40"",""NI"""</f>
        <v>"BC Live Database","Gurrentz","50013","20","SAVA","1","GALE","10","142","40","NI"</v>
      </c>
      <c r="G520" s="3">
        <v>44505</v>
      </c>
      <c r="H520" t="str">
        <f>"Galen"</f>
        <v>Galen</v>
      </c>
      <c r="I520" t="str">
        <f>"142"</f>
        <v>142</v>
      </c>
    </row>
    <row r="521" spans="1:9" x14ac:dyDescent="0.3">
      <c r="A521" t="s">
        <v>14</v>
      </c>
      <c r="D521" s="1" t="str">
        <f t="shared" si="27"/>
        <v>Savannah, GA</v>
      </c>
      <c r="F521" s="1" t="str">
        <f>"""BC Live Database"",""Gurrentz"",""50013"",""20"",""SAVA"",""1"",""MARI"",""10"",""1533"",""40"",""AU"""</f>
        <v>"BC Live Database","Gurrentz","50013","20","SAVA","1","MARI","10","1533","40","AU"</v>
      </c>
      <c r="G521" s="3">
        <v>44509</v>
      </c>
      <c r="H521" t="str">
        <f>"Mariner"</f>
        <v>Mariner</v>
      </c>
      <c r="I521" t="str">
        <f>"1533"</f>
        <v>1533</v>
      </c>
    </row>
    <row r="522" spans="1:9" x14ac:dyDescent="0.3">
      <c r="A522" t="s">
        <v>14</v>
      </c>
      <c r="D522" s="1" t="str">
        <f t="shared" si="27"/>
        <v>Savannah, GA</v>
      </c>
      <c r="F522" s="1" t="str">
        <f>"""BC Live Database"",""Gurrentz"",""50013"",""20"",""SAVA"",""1"",""MARI"",""10"",""1533"",""40"",""NZ"""</f>
        <v>"BC Live Database","Gurrentz","50013","20","SAVA","1","MARI","10","1533","40","NZ"</v>
      </c>
      <c r="G522" s="3">
        <v>44509</v>
      </c>
      <c r="H522" t="str">
        <f>"Mariner"</f>
        <v>Mariner</v>
      </c>
      <c r="I522" t="str">
        <f>"1533"</f>
        <v>1533</v>
      </c>
    </row>
    <row r="523" spans="1:9" x14ac:dyDescent="0.3">
      <c r="A523" t="s">
        <v>14</v>
      </c>
      <c r="D523" s="1" t="str">
        <f t="shared" si="27"/>
        <v>Savannah, GA</v>
      </c>
      <c r="F523" s="1" t="str">
        <f>"""BC Live Database"",""Gurrentz"",""50013"",""20"",""SAVA"",""1"",""ASPA"",""10"",""030"",""40"",""NI"""</f>
        <v>"BC Live Database","Gurrentz","50013","20","SAVA","1","ASPA","10","030","40","NI"</v>
      </c>
      <c r="G523" s="3">
        <v>44518</v>
      </c>
      <c r="H523" t="str">
        <f>"AS Palatia"</f>
        <v>AS Palatia</v>
      </c>
      <c r="I523" t="str">
        <f>"030"</f>
        <v>030</v>
      </c>
    </row>
    <row r="524" spans="1:9" x14ac:dyDescent="0.3">
      <c r="A524" t="s">
        <v>14</v>
      </c>
      <c r="D524" s="1" t="str">
        <f t="shared" si="27"/>
        <v>Savannah, GA</v>
      </c>
      <c r="F524" s="1" t="str">
        <f>"""BC Live Database"",""Gurrentz"",""50013"",""20"",""SAVA"",""1"",""ASSA"",""10"",""057"",""40"",""NI"""</f>
        <v>"BC Live Database","Gurrentz","50013","20","SAVA","1","ASSA","10","057","40","NI"</v>
      </c>
      <c r="G524" s="3">
        <v>44518</v>
      </c>
      <c r="H524" t="str">
        <f>"AS Sabrina"</f>
        <v>AS Sabrina</v>
      </c>
      <c r="I524" t="str">
        <f>"057"</f>
        <v>057</v>
      </c>
    </row>
    <row r="525" spans="1:9" x14ac:dyDescent="0.3">
      <c r="A525" t="s">
        <v>14</v>
      </c>
      <c r="D525" s="1" t="str">
        <f t="shared" si="27"/>
        <v>Savannah, GA</v>
      </c>
      <c r="F525" s="1" t="str">
        <f>"""BC Live Database"",""Gurrentz"",""50013"",""20"",""SAVA"",""1"",""MARU"",""10"",""1534"",""40"",""AU"""</f>
        <v>"BC Live Database","Gurrentz","50013","20","SAVA","1","MARU","10","1534","40","AU"</v>
      </c>
      <c r="G525" s="3">
        <v>44523</v>
      </c>
      <c r="H525" t="str">
        <f>"Marius"</f>
        <v>Marius</v>
      </c>
      <c r="I525" t="str">
        <f>"1534"</f>
        <v>1534</v>
      </c>
    </row>
    <row r="526" spans="1:9" x14ac:dyDescent="0.3">
      <c r="A526" t="s">
        <v>14</v>
      </c>
      <c r="D526" s="1" t="str">
        <f t="shared" si="27"/>
        <v>Savannah, GA</v>
      </c>
      <c r="F526" s="1" t="str">
        <f>"""BC Live Database"",""Gurrentz"",""50013"",""20"",""SAVA"",""1"",""MARU"",""10"",""1534"",""40"",""NZ"""</f>
        <v>"BC Live Database","Gurrentz","50013","20","SAVA","1","MARU","10","1534","40","NZ"</v>
      </c>
      <c r="G526" s="3">
        <v>44523</v>
      </c>
      <c r="H526" t="str">
        <f>"Marius"</f>
        <v>Marius</v>
      </c>
      <c r="I526" t="str">
        <f>"1534"</f>
        <v>1534</v>
      </c>
    </row>
    <row r="527" spans="1:9" x14ac:dyDescent="0.3">
      <c r="A527" t="s">
        <v>14</v>
      </c>
      <c r="D527" s="1" t="str">
        <f t="shared" si="27"/>
        <v>Savannah, GA</v>
      </c>
      <c r="F527" s="1" t="str">
        <f>"""BC Live Database"",""Gurrentz"",""50013"",""20"",""SAVA"",""1"",""ASAV"",""10"",""050"",""40"",""NI"""</f>
        <v>"BC Live Database","Gurrentz","50013","20","SAVA","1","ASAV","10","050","40","NI"</v>
      </c>
      <c r="G527" s="3">
        <v>44524</v>
      </c>
      <c r="H527" t="str">
        <f>"AS Savannah "</f>
        <v xml:space="preserve">AS Savannah </v>
      </c>
      <c r="I527" t="str">
        <f>"050"</f>
        <v>050</v>
      </c>
    </row>
    <row r="528" spans="1:9" x14ac:dyDescent="0.3">
      <c r="A528" t="s">
        <v>14</v>
      </c>
      <c r="D528" s="1" t="str">
        <f t="shared" si="27"/>
        <v>Savannah, GA</v>
      </c>
      <c r="F528" s="1" t="str">
        <f>"""BC Live Database"",""Gurrentz"",""50013"",""20"",""SAVA"",""1"",""MAJE"",""10"",""1535"",""40"",""AU"""</f>
        <v>"BC Live Database","Gurrentz","50013","20","SAVA","1","MAJE","10","1535","40","AU"</v>
      </c>
      <c r="G528" s="3">
        <v>44537</v>
      </c>
      <c r="H528" t="str">
        <f>"Majestic"</f>
        <v>Majestic</v>
      </c>
      <c r="I528" t="str">
        <f>"1535"</f>
        <v>1535</v>
      </c>
    </row>
    <row r="529" spans="1:9" x14ac:dyDescent="0.3">
      <c r="A529" t="s">
        <v>14</v>
      </c>
      <c r="D529" s="1" t="str">
        <f t="shared" si="27"/>
        <v>Savannah, GA</v>
      </c>
      <c r="F529" s="1" t="str">
        <f>"""BC Live Database"",""Gurrentz"",""50013"",""20"",""SAVA"",""1"",""MAJE"",""10"",""1535"",""40"",""NZ"""</f>
        <v>"BC Live Database","Gurrentz","50013","20","SAVA","1","MAJE","10","1535","40","NZ"</v>
      </c>
      <c r="G529" s="3">
        <v>44537</v>
      </c>
      <c r="H529" t="str">
        <f>"Majestic"</f>
        <v>Majestic</v>
      </c>
      <c r="I529" t="str">
        <f>"1535"</f>
        <v>1535</v>
      </c>
    </row>
    <row r="530" spans="1:9" x14ac:dyDescent="0.3">
      <c r="A530" t="s">
        <v>14</v>
      </c>
      <c r="D530" s="1" t="str">
        <f t="shared" si="27"/>
        <v>Savannah, GA</v>
      </c>
      <c r="F530" s="1" t="str">
        <f>"""BC Live Database"",""Gurrentz"",""50013"",""20"",""SAVA"",""1"",""ASAV"",""10"",""051"",""40"",""NI"""</f>
        <v>"BC Live Database","Gurrentz","50013","20","SAVA","1","ASAV","10","051","40","NI"</v>
      </c>
      <c r="G530" s="3">
        <v>44541</v>
      </c>
      <c r="H530" t="str">
        <f>"AS Savannah "</f>
        <v xml:space="preserve">AS Savannah </v>
      </c>
      <c r="I530" t="str">
        <f>"051"</f>
        <v>051</v>
      </c>
    </row>
    <row r="531" spans="1:9" x14ac:dyDescent="0.3">
      <c r="A531" t="s">
        <v>14</v>
      </c>
      <c r="D531" s="1" t="str">
        <f t="shared" si="27"/>
        <v>Savannah, GA</v>
      </c>
      <c r="F531" s="1" t="str">
        <f>"""BC Live Database"",""Gurrentz"",""50013"",""20"",""SAVA"",""1"",""SANA"",""10"",""148"",""40"",""NI"""</f>
        <v>"BC Live Database","Gurrentz","50013","20","SAVA","1","SANA","10","148","40","NI"</v>
      </c>
      <c r="G531" s="3">
        <v>44547</v>
      </c>
      <c r="H531" t="str">
        <f>"SAN ALVARO"</f>
        <v>SAN ALVARO</v>
      </c>
      <c r="I531" t="str">
        <f>"148"</f>
        <v>148</v>
      </c>
    </row>
    <row r="532" spans="1:9" x14ac:dyDescent="0.3">
      <c r="A532" t="s">
        <v>14</v>
      </c>
      <c r="D532" s="1" t="str">
        <f t="shared" si="27"/>
        <v>Savannah, GA</v>
      </c>
      <c r="F532" s="1" t="str">
        <f>"""BC Live Database"",""Gurrentz"",""50013"",""20"",""SAVA"",""1"",""MAND"",""10"",""1536"",""40"",""AU"""</f>
        <v>"BC Live Database","Gurrentz","50013","20","SAVA","1","MAND","10","1536","40","AU"</v>
      </c>
      <c r="G532" s="3">
        <v>44551</v>
      </c>
      <c r="H532" t="str">
        <f>"Mandalay"</f>
        <v>Mandalay</v>
      </c>
      <c r="I532" t="str">
        <f>"1536"</f>
        <v>1536</v>
      </c>
    </row>
    <row r="533" spans="1:9" x14ac:dyDescent="0.3">
      <c r="A533" t="s">
        <v>14</v>
      </c>
      <c r="D533" s="1" t="str">
        <f t="shared" si="27"/>
        <v>Savannah, GA</v>
      </c>
      <c r="F533" s="1" t="str">
        <f>"""BC Live Database"",""Gurrentz"",""50013"",""20"",""SAVA"",""1"",""MAND"",""10"",""1536"",""40"",""NZ"""</f>
        <v>"BC Live Database","Gurrentz","50013","20","SAVA","1","MAND","10","1536","40","NZ"</v>
      </c>
      <c r="G533" s="3">
        <v>44551</v>
      </c>
      <c r="H533" t="str">
        <f>"Mandalay"</f>
        <v>Mandalay</v>
      </c>
      <c r="I533" t="str">
        <f>"1536"</f>
        <v>1536</v>
      </c>
    </row>
    <row r="534" spans="1:9" x14ac:dyDescent="0.3">
      <c r="A534" t="s">
        <v>14</v>
      </c>
      <c r="D534" s="1" t="str">
        <f t="shared" si="27"/>
        <v>Savannah, GA</v>
      </c>
      <c r="F534" s="1" t="str">
        <f>"""BC Live Database"",""Gurrentz"",""50013"",""20"",""SAVA"",""1"",""NORD"",""10"",""1537"",""40"",""AU"""</f>
        <v>"BC Live Database","Gurrentz","50013","20","SAVA","1","NORD","10","1537","40","AU"</v>
      </c>
      <c r="G534" s="3">
        <v>44562</v>
      </c>
      <c r="H534" t="str">
        <f>"Nordamelia"</f>
        <v>Nordamelia</v>
      </c>
      <c r="I534" t="str">
        <f>"1537"</f>
        <v>1537</v>
      </c>
    </row>
    <row r="535" spans="1:9" x14ac:dyDescent="0.3">
      <c r="A535" t="s">
        <v>14</v>
      </c>
      <c r="D535" s="1" t="str">
        <f t="shared" si="27"/>
        <v>Savannah, GA</v>
      </c>
      <c r="F535" s="1" t="str">
        <f>"""BC Live Database"",""Gurrentz"",""50013"",""20"",""SAVA"",""1"",""NORD"",""10"",""1537"",""40"",""NZ"""</f>
        <v>"BC Live Database","Gurrentz","50013","20","SAVA","1","NORD","10","1537","40","NZ"</v>
      </c>
      <c r="G535" s="3">
        <v>44562</v>
      </c>
      <c r="H535" t="str">
        <f>"Nordamelia"</f>
        <v>Nordamelia</v>
      </c>
      <c r="I535" t="str">
        <f>"1537"</f>
        <v>1537</v>
      </c>
    </row>
    <row r="536" spans="1:9" x14ac:dyDescent="0.3">
      <c r="A536" t="s">
        <v>14</v>
      </c>
      <c r="D536" s="1" t="str">
        <f t="shared" si="27"/>
        <v>Savannah, GA</v>
      </c>
      <c r="F536" s="1" t="str">
        <f>"""BC Live Database"",""Gurrentz"",""50013"",""20"",""SAVA"",""1"",""ASAV"",""10"",""053"",""40"",""NI"""</f>
        <v>"BC Live Database","Gurrentz","50013","20","SAVA","1","ASAV","10","053","40","NI"</v>
      </c>
      <c r="G536" s="3">
        <v>44567</v>
      </c>
      <c r="H536" t="str">
        <f>"AS Savannah "</f>
        <v xml:space="preserve">AS Savannah </v>
      </c>
      <c r="I536" t="str">
        <f>"053"</f>
        <v>053</v>
      </c>
    </row>
    <row r="537" spans="1:9" x14ac:dyDescent="0.3">
      <c r="A537" t="s">
        <v>14</v>
      </c>
      <c r="D537" s="1" t="str">
        <f t="shared" si="27"/>
        <v>Savannah, GA</v>
      </c>
      <c r="F537" s="1" t="str">
        <f>"""BC Live Database"",""Gurrentz"",""50013"",""20"",""SAVA"",""1"",""ASSA"",""10"",""061"",""40"",""NI"""</f>
        <v>"BC Live Database","Gurrentz","50013","20","SAVA","1","ASSA","10","061","40","NI"</v>
      </c>
      <c r="G537" s="3">
        <v>44574</v>
      </c>
      <c r="H537" t="str">
        <f>"AS Sabrina"</f>
        <v>AS Sabrina</v>
      </c>
      <c r="I537" t="str">
        <f>"061"</f>
        <v>061</v>
      </c>
    </row>
    <row r="538" spans="1:9" x14ac:dyDescent="0.3">
      <c r="A538" t="s">
        <v>14</v>
      </c>
      <c r="D538" s="1" t="str">
        <f t="shared" si="27"/>
        <v>Savannah, GA</v>
      </c>
      <c r="F538" s="1" t="str">
        <f>"""BC Live Database"",""Gurrentz"",""50013"",""20"",""SAVA"",""1"",""CMAD"",""10"",""1538"",""40"",""AU"""</f>
        <v>"BC Live Database","Gurrentz","50013","20","SAVA","1","CMAD","10","1538","40","AU"</v>
      </c>
      <c r="G538" s="3">
        <v>44579</v>
      </c>
      <c r="H538" t="str">
        <f>"CMA CGM Abu Dhabi"</f>
        <v>CMA CGM Abu Dhabi</v>
      </c>
      <c r="I538" t="str">
        <f>"1538"</f>
        <v>1538</v>
      </c>
    </row>
    <row r="539" spans="1:9" x14ac:dyDescent="0.3">
      <c r="A539" t="s">
        <v>14</v>
      </c>
      <c r="D539" s="1" t="str">
        <f t="shared" si="27"/>
        <v>Savannah, GA</v>
      </c>
      <c r="F539" s="1" t="str">
        <f>"""BC Live Database"",""Gurrentz"",""50013"",""20"",""SAVA"",""1"",""CMAD"",""10"",""1538"",""40"",""NZ"""</f>
        <v>"BC Live Database","Gurrentz","50013","20","SAVA","1","CMAD","10","1538","40","NZ"</v>
      </c>
      <c r="G539" s="3">
        <v>44579</v>
      </c>
      <c r="H539" t="str">
        <f>"CMA CGM Abu Dhabi"</f>
        <v>CMA CGM Abu Dhabi</v>
      </c>
      <c r="I539" t="str">
        <f>"1538"</f>
        <v>1538</v>
      </c>
    </row>
    <row r="540" spans="1:9" x14ac:dyDescent="0.3">
      <c r="A540" t="s">
        <v>14</v>
      </c>
      <c r="D540" s="1" t="str">
        <f t="shared" si="27"/>
        <v>Savannah, GA</v>
      </c>
      <c r="F540" s="1" t="str">
        <f>"""BC Live Database"",""Gurrentz"",""50013"",""20"",""SAVA"",""1"",""NOPA"",""10"",""1546"",""40"",""AU"""</f>
        <v>"BC Live Database","Gurrentz","50013","20","SAVA","1","NOPA","10","1546","40","AU"</v>
      </c>
      <c r="G540" s="3">
        <v>44593</v>
      </c>
      <c r="H540" t="str">
        <f>"Nordpacific"</f>
        <v>Nordpacific</v>
      </c>
      <c r="I540" t="str">
        <f>"1546"</f>
        <v>1546</v>
      </c>
    </row>
    <row r="541" spans="1:9" x14ac:dyDescent="0.3">
      <c r="A541" t="s">
        <v>14</v>
      </c>
      <c r="D541" s="1" t="str">
        <f t="shared" si="27"/>
        <v>Savannah, GA</v>
      </c>
      <c r="F541" s="1" t="str">
        <f>"""BC Live Database"",""Gurrentz"",""50013"",""20"",""SAVA"",""1"",""NOPA"",""10"",""1546"",""40"",""NZ"""</f>
        <v>"BC Live Database","Gurrentz","50013","20","SAVA","1","NOPA","10","1546","40","NZ"</v>
      </c>
      <c r="G541" s="3">
        <v>44593</v>
      </c>
      <c r="H541" t="str">
        <f>"Nordpacific"</f>
        <v>Nordpacific</v>
      </c>
      <c r="I541" t="str">
        <f>"1546"</f>
        <v>1546</v>
      </c>
    </row>
    <row r="542" spans="1:9" x14ac:dyDescent="0.3">
      <c r="A542" t="s">
        <v>14</v>
      </c>
      <c r="D542" s="1" t="str">
        <f t="shared" si="27"/>
        <v>Savannah, GA</v>
      </c>
      <c r="F542" s="1" t="str">
        <f>"""BC Live Database"",""Gurrentz"",""50013"",""20"",""SAVA"",""1"",""SANA"",""10"",""204"",""40"",""NI"""</f>
        <v>"BC Live Database","Gurrentz","50013","20","SAVA","1","SANA","10","204","40","NI"</v>
      </c>
      <c r="G542" s="3">
        <v>44603</v>
      </c>
      <c r="H542" t="str">
        <f>"SAN ALVARO"</f>
        <v>SAN ALVARO</v>
      </c>
      <c r="I542" t="str">
        <f>"204"</f>
        <v>204</v>
      </c>
    </row>
    <row r="543" spans="1:9" x14ac:dyDescent="0.3">
      <c r="A543" t="s">
        <v>14</v>
      </c>
      <c r="D543" s="1" t="str">
        <f t="shared" si="27"/>
        <v>Savannah, GA</v>
      </c>
      <c r="F543" s="1" t="str">
        <f>"""BC Live Database"",""Gurrentz"",""50013"",""20"",""SAVA"",""1"",""MARI"",""10"",""1548"",""40"",""AU"""</f>
        <v>"BC Live Database","Gurrentz","50013","20","SAVA","1","MARI","10","1548","40","AU"</v>
      </c>
      <c r="G543" s="3">
        <v>44607</v>
      </c>
      <c r="H543" t="str">
        <f>"Mariner"</f>
        <v>Mariner</v>
      </c>
      <c r="I543" t="str">
        <f>"1548"</f>
        <v>1548</v>
      </c>
    </row>
    <row r="544" spans="1:9" x14ac:dyDescent="0.3">
      <c r="A544" t="s">
        <v>14</v>
      </c>
      <c r="D544" s="1" t="str">
        <f t="shared" si="27"/>
        <v>Savannah, GA</v>
      </c>
      <c r="F544" s="1" t="str">
        <f>"""BC Live Database"",""Gurrentz"",""50013"",""20"",""SAVA"",""1"",""MARI"",""10"",""1548"",""40"",""NZ"""</f>
        <v>"BC Live Database","Gurrentz","50013","20","SAVA","1","MARI","10","1548","40","NZ"</v>
      </c>
      <c r="G544" s="3">
        <v>44607</v>
      </c>
      <c r="H544" t="str">
        <f>"Mariner"</f>
        <v>Mariner</v>
      </c>
      <c r="I544" t="str">
        <f>"1548"</f>
        <v>1548</v>
      </c>
    </row>
    <row r="545" spans="1:9" x14ac:dyDescent="0.3">
      <c r="A545" t="s">
        <v>14</v>
      </c>
      <c r="D545" s="1" t="str">
        <f t="shared" si="27"/>
        <v>Savannah, GA</v>
      </c>
      <c r="F545" s="1" t="str">
        <f>"""BC Live Database"",""Gurrentz"",""50013"",""20"",""SAVA"",""1"",""GALA"",""10"",""205"",""40"",""NI"""</f>
        <v>"BC Live Database","Gurrentz","50013","20","SAVA","1","GALA","10","205","40","NI"</v>
      </c>
      <c r="G545" s="3">
        <v>44610</v>
      </c>
      <c r="H545" t="str">
        <f>"Galani"</f>
        <v>Galani</v>
      </c>
      <c r="I545" t="str">
        <f>"205"</f>
        <v>205</v>
      </c>
    </row>
    <row r="546" spans="1:9" x14ac:dyDescent="0.3">
      <c r="A546" t="s">
        <v>14</v>
      </c>
      <c r="D546" s="1" t="str">
        <f t="shared" si="27"/>
        <v>Savannah, GA</v>
      </c>
      <c r="F546" s="1" t="str">
        <f>"""BC Live Database"",""Gurrentz"",""50013"",""20"",""SAVA"",""1"",""MARU"",""10"",""1550"",""40"",""AU"""</f>
        <v>"BC Live Database","Gurrentz","50013","20","SAVA","1","MARU","10","1550","40","AU"</v>
      </c>
      <c r="G546" s="3">
        <v>44621</v>
      </c>
      <c r="H546" t="str">
        <f>"Marius"</f>
        <v>Marius</v>
      </c>
      <c r="I546" t="str">
        <f>"1550"</f>
        <v>1550</v>
      </c>
    </row>
    <row r="547" spans="1:9" x14ac:dyDescent="0.3">
      <c r="A547" t="s">
        <v>14</v>
      </c>
      <c r="D547" s="1" t="str">
        <f t="shared" si="27"/>
        <v>Savannah, GA</v>
      </c>
      <c r="F547" s="1" t="str">
        <f>"""BC Live Database"",""Gurrentz"",""50013"",""20"",""SAVA"",""1"",""MARU"",""10"",""1550"",""40"",""NZ"""</f>
        <v>"BC Live Database","Gurrentz","50013","20","SAVA","1","MARU","10","1550","40","NZ"</v>
      </c>
      <c r="G547" s="3">
        <v>44621</v>
      </c>
      <c r="H547" t="str">
        <f>"Marius"</f>
        <v>Marius</v>
      </c>
      <c r="I547" t="str">
        <f>"1550"</f>
        <v>1550</v>
      </c>
    </row>
    <row r="548" spans="1:9" x14ac:dyDescent="0.3">
      <c r="A548" t="s">
        <v>14</v>
      </c>
      <c r="D548" s="1" t="str">
        <f t="shared" si="27"/>
        <v>Savannah, GA</v>
      </c>
      <c r="F548" s="1" t="str">
        <f>"""BC Live Database"",""Gurrentz"",""50013"",""20"",""SAVA"",""1"",""MAJE"",""10"",""1552"",""40"",""AU"""</f>
        <v>"BC Live Database","Gurrentz","50013","20","SAVA","1","MAJE","10","1552","40","AU"</v>
      </c>
      <c r="G548" s="3">
        <v>44634</v>
      </c>
      <c r="H548" t="str">
        <f>"Majestic"</f>
        <v>Majestic</v>
      </c>
      <c r="I548" t="str">
        <f>"1552"</f>
        <v>1552</v>
      </c>
    </row>
    <row r="549" spans="1:9" x14ac:dyDescent="0.3">
      <c r="A549" t="s">
        <v>14</v>
      </c>
      <c r="D549" s="1" t="str">
        <f t="shared" si="27"/>
        <v>Savannah, GA</v>
      </c>
      <c r="F549" s="1" t="str">
        <f>"""BC Live Database"",""Gurrentz"",""50013"",""20"",""SAVA"",""1"",""MAJE"",""10"",""1552"",""40"",""NZ"""</f>
        <v>"BC Live Database","Gurrentz","50013","20","SAVA","1","MAJE","10","1552","40","NZ"</v>
      </c>
      <c r="G549" s="3">
        <v>44634</v>
      </c>
      <c r="H549" t="str">
        <f>"Majestic"</f>
        <v>Majestic</v>
      </c>
      <c r="I549" t="str">
        <f>"1552"</f>
        <v>1552</v>
      </c>
    </row>
    <row r="550" spans="1:9" x14ac:dyDescent="0.3">
      <c r="A550" t="s">
        <v>14</v>
      </c>
      <c r="D550" s="1" t="str">
        <f t="shared" si="27"/>
        <v>Savannah, GA</v>
      </c>
      <c r="F550" s="1" t="str">
        <f>"""BC Live Database"",""Gurrentz"",""50013"",""20"",""SAVA"",""1"",""MAND"",""10"",""1554"",""40"",""AU"""</f>
        <v>"BC Live Database","Gurrentz","50013","20","SAVA","1","MAND","10","1554","40","AU"</v>
      </c>
      <c r="G550" s="3">
        <v>44648</v>
      </c>
      <c r="H550" t="str">
        <f>"Mandalay"</f>
        <v>Mandalay</v>
      </c>
      <c r="I550" t="str">
        <f>"1554"</f>
        <v>1554</v>
      </c>
    </row>
    <row r="551" spans="1:9" x14ac:dyDescent="0.3">
      <c r="A551" t="s">
        <v>14</v>
      </c>
      <c r="D551" s="1" t="str">
        <f t="shared" si="27"/>
        <v>Savannah, GA</v>
      </c>
      <c r="F551" s="1" t="str">
        <f>"""BC Live Database"",""Gurrentz"",""50013"",""20"",""SAVA"",""1"",""MAND"",""10"",""1554"",""40"",""NZ"""</f>
        <v>"BC Live Database","Gurrentz","50013","20","SAVA","1","MAND","10","1554","40","NZ"</v>
      </c>
      <c r="G551" s="3">
        <v>44648</v>
      </c>
      <c r="H551" t="str">
        <f>"Mandalay"</f>
        <v>Mandalay</v>
      </c>
      <c r="I551" t="str">
        <f>"1554"</f>
        <v>1554</v>
      </c>
    </row>
    <row r="552" spans="1:9" x14ac:dyDescent="0.3">
      <c r="A552" t="s">
        <v>14</v>
      </c>
      <c r="D552" s="1" t="str">
        <f>D519</f>
        <v>Savannah, GA</v>
      </c>
    </row>
    <row r="553" spans="1:9" x14ac:dyDescent="0.3">
      <c r="A553" t="s">
        <v>14</v>
      </c>
      <c r="D553" s="1" t="str">
        <f t="shared" ref="D553" si="28">E553</f>
        <v>Seattle, WA</v>
      </c>
      <c r="E553" t="str">
        <f>"Seattle, WA"</f>
        <v>Seattle, WA</v>
      </c>
      <c r="G553" t="s">
        <v>3</v>
      </c>
      <c r="H553" t="s">
        <v>4</v>
      </c>
      <c r="I553" t="s">
        <v>5</v>
      </c>
    </row>
    <row r="554" spans="1:9" x14ac:dyDescent="0.3">
      <c r="A554" t="s">
        <v>14</v>
      </c>
      <c r="D554" s="1" t="str">
        <f t="shared" ref="D554" si="29">D553</f>
        <v>Seattle, WA</v>
      </c>
      <c r="F554" s="1" t="str">
        <f>"""BC Live Database"",""Gurrentz"",""50013"",""20"",""SEAT"",""1"",""DEBU"",""10"",""126"",""40"",""AU"""</f>
        <v>"BC Live Database","Gurrentz","50013","20","SEAT","1","DEBU","10","126","40","AU"</v>
      </c>
      <c r="G554" s="3">
        <v>44476</v>
      </c>
      <c r="H554" t="str">
        <f>"Debussy"</f>
        <v>Debussy</v>
      </c>
      <c r="I554" t="str">
        <f>"126"</f>
        <v>126</v>
      </c>
    </row>
    <row r="555" spans="1:9" x14ac:dyDescent="0.3">
      <c r="A555" t="s">
        <v>14</v>
      </c>
      <c r="D555" s="1" t="str">
        <f t="shared" ref="D555:D572" si="30">D554</f>
        <v>Seattle, WA</v>
      </c>
      <c r="F555" s="1" t="str">
        <f>"""BC Live Database"",""Gurrentz"",""50013"",""20"",""SEAT"",""1"",""DEBU"",""10"",""126"",""40"",""NZ"""</f>
        <v>"BC Live Database","Gurrentz","50013","20","SEAT","1","DEBU","10","126","40","NZ"</v>
      </c>
      <c r="G555" s="3">
        <v>44476</v>
      </c>
      <c r="H555" t="str">
        <f>"Debussy"</f>
        <v>Debussy</v>
      </c>
      <c r="I555" t="str">
        <f>"126"</f>
        <v>126</v>
      </c>
    </row>
    <row r="556" spans="1:9" x14ac:dyDescent="0.3">
      <c r="A556" t="s">
        <v>14</v>
      </c>
      <c r="D556" s="1" t="str">
        <f t="shared" si="30"/>
        <v>Seattle, WA</v>
      </c>
      <c r="F556" s="1" t="str">
        <f>"""BC Live Database"",""Gurrentz"",""50013"",""20"",""SEAT"",""1"",""MSMO"",""10"",""133"",""40"",""BR"""</f>
        <v>"BC Live Database","Gurrentz","50013","20","SEAT","1","MSMO","10","133","40","BR"</v>
      </c>
      <c r="G556" s="3">
        <v>44485</v>
      </c>
      <c r="H556" t="str">
        <f>"MSC Monterey"</f>
        <v>MSC Monterey</v>
      </c>
      <c r="I556" t="str">
        <f>"133"</f>
        <v>133</v>
      </c>
    </row>
    <row r="557" spans="1:9" x14ac:dyDescent="0.3">
      <c r="A557" t="s">
        <v>14</v>
      </c>
      <c r="D557" s="1" t="str">
        <f t="shared" si="30"/>
        <v>Seattle, WA</v>
      </c>
      <c r="F557" s="1" t="str">
        <f>"""BC Live Database"",""Gurrentz"",""50013"",""20"",""SEAT"",""1"",""LOEX"",""10"",""127"",""40"",""AU"""</f>
        <v>"BC Live Database","Gurrentz","50013","20","SEAT","1","LOEX","10","127","40","AU"</v>
      </c>
      <c r="G557" s="3">
        <v>44486</v>
      </c>
      <c r="H557" t="str">
        <f>"London Express"</f>
        <v>London Express</v>
      </c>
      <c r="I557" t="str">
        <f>"127"</f>
        <v>127</v>
      </c>
    </row>
    <row r="558" spans="1:9" x14ac:dyDescent="0.3">
      <c r="A558" t="s">
        <v>14</v>
      </c>
      <c r="D558" s="1" t="str">
        <f t="shared" si="30"/>
        <v>Seattle, WA</v>
      </c>
      <c r="F558" s="1" t="str">
        <f>"""BC Live Database"",""Gurrentz"",""50013"",""20"",""SEAT"",""1"",""LOEX"",""10"",""127"",""40"",""NZ"""</f>
        <v>"BC Live Database","Gurrentz","50013","20","SEAT","1","LOEX","10","127","40","NZ"</v>
      </c>
      <c r="G558" s="3">
        <v>44486</v>
      </c>
      <c r="H558" t="str">
        <f>"London Express"</f>
        <v>London Express</v>
      </c>
      <c r="I558" t="str">
        <f>"127"</f>
        <v>127</v>
      </c>
    </row>
    <row r="559" spans="1:9" x14ac:dyDescent="0.3">
      <c r="A559" t="s">
        <v>14</v>
      </c>
      <c r="D559" s="1" t="str">
        <f t="shared" si="30"/>
        <v>Seattle, WA</v>
      </c>
      <c r="F559" s="1" t="str">
        <f>"""BC Live Database"",""Gurrentz"",""50013"",""20"",""SEAT"",""1"",""MATE"",""10"",""128"",""40"",""AU"""</f>
        <v>"BC Live Database","Gurrentz","50013","20","SEAT","1","MATE","10","128","40","AU"</v>
      </c>
      <c r="G559" s="3">
        <v>44487</v>
      </c>
      <c r="H559" t="str">
        <f>"Mate"</f>
        <v>Mate</v>
      </c>
      <c r="I559" t="str">
        <f>"128"</f>
        <v>128</v>
      </c>
    </row>
    <row r="560" spans="1:9" x14ac:dyDescent="0.3">
      <c r="A560" t="s">
        <v>14</v>
      </c>
      <c r="D560" s="1" t="str">
        <f t="shared" si="30"/>
        <v>Seattle, WA</v>
      </c>
      <c r="F560" s="1" t="str">
        <f>"""BC Live Database"",""Gurrentz"",""50013"",""20"",""SEAT"",""1"",""MATE"",""10"",""128"",""40"",""NZ"""</f>
        <v>"BC Live Database","Gurrentz","50013","20","SEAT","1","MATE","10","128","40","NZ"</v>
      </c>
      <c r="G560" s="3">
        <v>44487</v>
      </c>
      <c r="H560" t="str">
        <f>"Mate"</f>
        <v>Mate</v>
      </c>
      <c r="I560" t="str">
        <f>"128"</f>
        <v>128</v>
      </c>
    </row>
    <row r="561" spans="1:9" x14ac:dyDescent="0.3">
      <c r="A561" t="s">
        <v>14</v>
      </c>
      <c r="D561" s="1" t="str">
        <f t="shared" si="30"/>
        <v>Seattle, WA</v>
      </c>
      <c r="F561" s="1" t="str">
        <f>"""BC Live Database"",""Gurrentz"",""50013"",""20"",""SEAT"",""1"",""COCO"",""10"",""134"",""40"",""AU"""</f>
        <v>"BC Live Database","Gurrentz","50013","20","SEAT","1","COCO","10","134","40","AU"</v>
      </c>
      <c r="G561" s="3">
        <v>44510</v>
      </c>
      <c r="H561" t="str">
        <f>"Conti Cordoba"</f>
        <v>Conti Cordoba</v>
      </c>
      <c r="I561" t="str">
        <f>"134"</f>
        <v>134</v>
      </c>
    </row>
    <row r="562" spans="1:9" x14ac:dyDescent="0.3">
      <c r="A562" t="s">
        <v>14</v>
      </c>
      <c r="D562" s="1" t="str">
        <f t="shared" si="30"/>
        <v>Seattle, WA</v>
      </c>
      <c r="F562" s="1" t="str">
        <f>"""BC Live Database"",""Gurrentz"",""50013"",""20"",""SEAT"",""1"",""COCO"",""10"",""134"",""40"",""NZ"""</f>
        <v>"BC Live Database","Gurrentz","50013","20","SEAT","1","COCO","10","134","40","NZ"</v>
      </c>
      <c r="G562" s="3">
        <v>44510</v>
      </c>
      <c r="H562" t="str">
        <f>"Conti Cordoba"</f>
        <v>Conti Cordoba</v>
      </c>
      <c r="I562" t="str">
        <f>"134"</f>
        <v>134</v>
      </c>
    </row>
    <row r="563" spans="1:9" x14ac:dyDescent="0.3">
      <c r="A563" t="s">
        <v>14</v>
      </c>
      <c r="D563" s="1" t="str">
        <f t="shared" si="30"/>
        <v>Seattle, WA</v>
      </c>
      <c r="F563" s="1" t="str">
        <f>"""BC Live Database"",""Gurrentz"",""50013"",""20"",""SEAT"",""1"",""SYKE"",""10"",""137"",""40"",""AU"""</f>
        <v>"BC Live Database","Gurrentz","50013","20","SEAT","1","SYKE","10","137","40","AU"</v>
      </c>
      <c r="G563" s="3">
        <v>44522</v>
      </c>
      <c r="H563" t="str">
        <f>"Synergy Keelung"</f>
        <v>Synergy Keelung</v>
      </c>
      <c r="I563" t="str">
        <f>"137"</f>
        <v>137</v>
      </c>
    </row>
    <row r="564" spans="1:9" x14ac:dyDescent="0.3">
      <c r="A564" t="s">
        <v>14</v>
      </c>
      <c r="D564" s="1" t="str">
        <f t="shared" si="30"/>
        <v>Seattle, WA</v>
      </c>
      <c r="F564" s="1" t="str">
        <f>"""BC Live Database"",""Gurrentz"",""50013"",""20"",""SEAT"",""1"",""SYKE"",""10"",""137"",""40"",""NZ"""</f>
        <v>"BC Live Database","Gurrentz","50013","20","SEAT","1","SYKE","10","137","40","NZ"</v>
      </c>
      <c r="G564" s="3">
        <v>44522</v>
      </c>
      <c r="H564" t="str">
        <f>"Synergy Keelung"</f>
        <v>Synergy Keelung</v>
      </c>
      <c r="I564" t="str">
        <f>"137"</f>
        <v>137</v>
      </c>
    </row>
    <row r="565" spans="1:9" x14ac:dyDescent="0.3">
      <c r="A565" t="s">
        <v>14</v>
      </c>
      <c r="D565" s="1" t="str">
        <f t="shared" si="30"/>
        <v>Seattle, WA</v>
      </c>
      <c r="F565" s="1" t="str">
        <f>"""BC Live Database"",""Gurrentz"",""50013"",""20"",""SEAT"",""1"",""RIDE"",""10"",""137"",""40"",""NZ"""</f>
        <v>"BC Live Database","Gurrentz","50013","20","SEAT","1","RIDE","10","137","40","NZ"</v>
      </c>
      <c r="G565" s="3">
        <v>44545</v>
      </c>
      <c r="H565" t="str">
        <f>"Rio De Janeiro"</f>
        <v>Rio De Janeiro</v>
      </c>
      <c r="I565" t="str">
        <f>"137"</f>
        <v>137</v>
      </c>
    </row>
    <row r="566" spans="1:9" x14ac:dyDescent="0.3">
      <c r="A566" t="s">
        <v>14</v>
      </c>
      <c r="D566" s="1" t="str">
        <f t="shared" si="30"/>
        <v>Seattle, WA</v>
      </c>
      <c r="F566" s="1" t="str">
        <f>"""BC Live Database"",""Gurrentz"",""50013"",""20"",""SEAT"",""1"",""MASI"",""10"",""139"",""40"",""NZ"""</f>
        <v>"BC Live Database","Gurrentz","50013","20","SEAT","1","MASI","10","139","40","NZ"</v>
      </c>
      <c r="G566" s="3">
        <v>44547</v>
      </c>
      <c r="H566" t="str">
        <f>"Maersk Singapore "</f>
        <v xml:space="preserve">Maersk Singapore </v>
      </c>
      <c r="I566" t="str">
        <f>"139"</f>
        <v>139</v>
      </c>
    </row>
    <row r="567" spans="1:9" x14ac:dyDescent="0.3">
      <c r="A567" t="s">
        <v>14</v>
      </c>
      <c r="D567" s="1" t="str">
        <f t="shared" si="30"/>
        <v>Seattle, WA</v>
      </c>
      <c r="F567" s="1" t="str">
        <f>"""BC Live Database"",""Gurrentz"",""50013"",""20"",""SEAT"",""1"",""LOEX"",""10"",""201"",""40"",""AU"""</f>
        <v>"BC Live Database","Gurrentz","50013","20","SEAT","1","LOEX","10","201","40","AU"</v>
      </c>
      <c r="G567" s="3">
        <v>44637</v>
      </c>
      <c r="H567" t="str">
        <f>"London Express"</f>
        <v>London Express</v>
      </c>
      <c r="I567" t="str">
        <f>"201"</f>
        <v>201</v>
      </c>
    </row>
    <row r="568" spans="1:9" x14ac:dyDescent="0.3">
      <c r="A568" t="s">
        <v>14</v>
      </c>
      <c r="D568" s="1" t="str">
        <f t="shared" si="30"/>
        <v>Seattle, WA</v>
      </c>
      <c r="F568" s="1" t="str">
        <f>"""BC Live Database"",""Gurrentz"",""50013"",""20"",""SEAT"",""1"",""LOEX"",""10"",""201"",""40"",""NZ"""</f>
        <v>"BC Live Database","Gurrentz","50013","20","SEAT","1","LOEX","10","201","40","NZ"</v>
      </c>
      <c r="G568" s="3">
        <v>44637</v>
      </c>
      <c r="H568" t="str">
        <f>"London Express"</f>
        <v>London Express</v>
      </c>
      <c r="I568" t="str">
        <f>"201"</f>
        <v>201</v>
      </c>
    </row>
    <row r="569" spans="1:9" x14ac:dyDescent="0.3">
      <c r="A569" t="s">
        <v>14</v>
      </c>
      <c r="D569" s="1" t="str">
        <f t="shared" si="30"/>
        <v>Seattle, WA</v>
      </c>
      <c r="F569" s="1" t="str">
        <f>"""BC Live Database"",""Gurrentz"",""50013"",""20"",""SEAT"",""1"",""DUTC"",""10"",""152"",""40"",""AU"""</f>
        <v>"BC Live Database","Gurrentz","50013","20","SEAT","1","DUTC","10","152","40","AU"</v>
      </c>
      <c r="G569" s="3">
        <v>44640</v>
      </c>
      <c r="H569" t="str">
        <f>"CMA CGM Dutch Harbor"</f>
        <v>CMA CGM Dutch Harbor</v>
      </c>
      <c r="I569" t="str">
        <f>"152"</f>
        <v>152</v>
      </c>
    </row>
    <row r="570" spans="1:9" x14ac:dyDescent="0.3">
      <c r="A570" t="s">
        <v>14</v>
      </c>
      <c r="D570" s="1" t="str">
        <f t="shared" si="30"/>
        <v>Seattle, WA</v>
      </c>
      <c r="F570" s="1" t="str">
        <f>"""BC Live Database"",""Gurrentz"",""50013"",""20"",""SEAT"",""1"",""DUTC"",""10"",""152"",""40"",""NZ"""</f>
        <v>"BC Live Database","Gurrentz","50013","20","SEAT","1","DUTC","10","152","40","NZ"</v>
      </c>
      <c r="G570" s="3">
        <v>44640</v>
      </c>
      <c r="H570" t="str">
        <f>"CMA CGM Dutch Harbor"</f>
        <v>CMA CGM Dutch Harbor</v>
      </c>
      <c r="I570" t="str">
        <f>"152"</f>
        <v>152</v>
      </c>
    </row>
    <row r="571" spans="1:9" x14ac:dyDescent="0.3">
      <c r="A571" t="s">
        <v>14</v>
      </c>
      <c r="D571" s="1" t="str">
        <f t="shared" si="30"/>
        <v>Seattle, WA</v>
      </c>
      <c r="F571" s="1" t="str">
        <f>"""BC Live Database"",""Gurrentz"",""50013"",""20"",""SEAT"",""1"",""MATE"",""10"",""203"",""40"",""AU"""</f>
        <v>"BC Live Database","Gurrentz","50013","20","SEAT","1","MATE","10","203","40","AU"</v>
      </c>
      <c r="G571" s="3">
        <v>44642</v>
      </c>
      <c r="H571" t="str">
        <f>"Mate"</f>
        <v>Mate</v>
      </c>
      <c r="I571" t="str">
        <f>"203"</f>
        <v>203</v>
      </c>
    </row>
    <row r="572" spans="1:9" x14ac:dyDescent="0.3">
      <c r="A572" t="s">
        <v>14</v>
      </c>
      <c r="D572" s="1" t="str">
        <f t="shared" si="30"/>
        <v>Seattle, WA</v>
      </c>
      <c r="F572" s="1" t="str">
        <f>"""BC Live Database"",""Gurrentz"",""50013"",""20"",""SEAT"",""1"",""MATE"",""10"",""203"",""40"",""NZ"""</f>
        <v>"BC Live Database","Gurrentz","50013","20","SEAT","1","MATE","10","203","40","NZ"</v>
      </c>
      <c r="G572" s="3">
        <v>44642</v>
      </c>
      <c r="H572" t="str">
        <f>"Mate"</f>
        <v>Mate</v>
      </c>
      <c r="I572" t="str">
        <f>"203"</f>
        <v>203</v>
      </c>
    </row>
    <row r="573" spans="1:9" x14ac:dyDescent="0.3">
      <c r="A573" t="s">
        <v>14</v>
      </c>
      <c r="D573" s="1" t="str">
        <f>D554</f>
        <v>Seattle, WA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0A3F9-1D25-4800-91ED-88709B08AFE7}">
  <dimension ref="A1:I7"/>
  <sheetViews>
    <sheetView workbookViewId="0"/>
  </sheetViews>
  <sheetFormatPr defaultRowHeight="14.4" x14ac:dyDescent="0.3"/>
  <sheetData>
    <row r="1" spans="1:9" x14ac:dyDescent="0.3">
      <c r="A1" s="2" t="s">
        <v>2088</v>
      </c>
      <c r="D1" s="2" t="s">
        <v>2</v>
      </c>
      <c r="E1" s="2" t="s">
        <v>0</v>
      </c>
      <c r="F1" s="2" t="s">
        <v>2</v>
      </c>
      <c r="G1" s="2" t="s">
        <v>0</v>
      </c>
      <c r="H1" s="2" t="s">
        <v>0</v>
      </c>
      <c r="I1" s="2" t="s">
        <v>0</v>
      </c>
    </row>
    <row r="4" spans="1:9" x14ac:dyDescent="0.3">
      <c r="E4" s="2" t="s">
        <v>1</v>
      </c>
    </row>
    <row r="5" spans="1:9" x14ac:dyDescent="0.3">
      <c r="D5" s="2" t="s">
        <v>6</v>
      </c>
      <c r="E5" s="2" t="s">
        <v>7</v>
      </c>
      <c r="G5" s="2" t="s">
        <v>3</v>
      </c>
      <c r="H5" s="2" t="s">
        <v>4</v>
      </c>
      <c r="I5" s="2" t="s">
        <v>5</v>
      </c>
    </row>
    <row r="6" spans="1:9" x14ac:dyDescent="0.3">
      <c r="D6" s="2" t="s">
        <v>8</v>
      </c>
      <c r="F6" s="2" t="s">
        <v>9</v>
      </c>
      <c r="G6" s="2" t="s">
        <v>10</v>
      </c>
      <c r="H6" s="2" t="s">
        <v>11</v>
      </c>
      <c r="I6" s="2" t="s">
        <v>12</v>
      </c>
    </row>
    <row r="7" spans="1:9" x14ac:dyDescent="0.3">
      <c r="D7" s="2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0C89-7AFF-4ED1-A616-FFB8D4980C53}">
  <dimension ref="A1:I7"/>
  <sheetViews>
    <sheetView workbookViewId="0"/>
  </sheetViews>
  <sheetFormatPr defaultRowHeight="14.4" x14ac:dyDescent="0.3"/>
  <sheetData>
    <row r="1" spans="1:9" x14ac:dyDescent="0.3">
      <c r="A1" s="2" t="s">
        <v>2088</v>
      </c>
      <c r="D1" s="2" t="s">
        <v>2</v>
      </c>
      <c r="E1" s="2" t="s">
        <v>0</v>
      </c>
      <c r="F1" s="2" t="s">
        <v>2</v>
      </c>
      <c r="G1" s="2" t="s">
        <v>0</v>
      </c>
      <c r="H1" s="2" t="s">
        <v>0</v>
      </c>
      <c r="I1" s="2" t="s">
        <v>0</v>
      </c>
    </row>
    <row r="4" spans="1:9" x14ac:dyDescent="0.3">
      <c r="E4" s="2" t="s">
        <v>1</v>
      </c>
    </row>
    <row r="5" spans="1:9" x14ac:dyDescent="0.3">
      <c r="D5" s="2" t="s">
        <v>6</v>
      </c>
      <c r="E5" s="2" t="s">
        <v>7</v>
      </c>
      <c r="G5" s="2" t="s">
        <v>3</v>
      </c>
      <c r="H5" s="2" t="s">
        <v>4</v>
      </c>
      <c r="I5" s="2" t="s">
        <v>5</v>
      </c>
    </row>
    <row r="6" spans="1:9" x14ac:dyDescent="0.3">
      <c r="D6" s="2" t="s">
        <v>8</v>
      </c>
      <c r="F6" s="2" t="s">
        <v>9</v>
      </c>
      <c r="G6" s="2" t="s">
        <v>10</v>
      </c>
      <c r="H6" s="2" t="s">
        <v>11</v>
      </c>
      <c r="I6" s="2" t="s">
        <v>12</v>
      </c>
    </row>
    <row r="7" spans="1:9" x14ac:dyDescent="0.3">
      <c r="D7" s="2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6E364-D885-498F-B273-677D9B46B1BF}">
  <dimension ref="A1:I573"/>
  <sheetViews>
    <sheetView workbookViewId="0"/>
  </sheetViews>
  <sheetFormatPr defaultRowHeight="14.4" x14ac:dyDescent="0.3"/>
  <sheetData>
    <row r="1" spans="1:9" x14ac:dyDescent="0.3">
      <c r="A1" s="2" t="s">
        <v>2090</v>
      </c>
      <c r="D1" s="2" t="s">
        <v>2</v>
      </c>
      <c r="E1" s="2" t="s">
        <v>0</v>
      </c>
      <c r="F1" s="2" t="s">
        <v>2</v>
      </c>
      <c r="G1" s="2" t="s">
        <v>0</v>
      </c>
      <c r="H1" s="2" t="s">
        <v>0</v>
      </c>
      <c r="I1" s="2" t="s">
        <v>0</v>
      </c>
    </row>
    <row r="4" spans="1:9" x14ac:dyDescent="0.3">
      <c r="E4" s="2" t="s">
        <v>1</v>
      </c>
    </row>
    <row r="5" spans="1:9" x14ac:dyDescent="0.3">
      <c r="D5" s="2" t="s">
        <v>6</v>
      </c>
      <c r="E5" s="2" t="s">
        <v>7</v>
      </c>
      <c r="G5" s="2" t="s">
        <v>3</v>
      </c>
      <c r="H5" s="2" t="s">
        <v>4</v>
      </c>
      <c r="I5" s="2" t="s">
        <v>5</v>
      </c>
    </row>
    <row r="6" spans="1:9" x14ac:dyDescent="0.3">
      <c r="D6" s="2" t="s">
        <v>8</v>
      </c>
      <c r="F6" s="2" t="s">
        <v>9</v>
      </c>
      <c r="G6" s="2" t="s">
        <v>10</v>
      </c>
      <c r="H6" s="2" t="s">
        <v>11</v>
      </c>
      <c r="I6" s="2" t="s">
        <v>12</v>
      </c>
    </row>
    <row r="7" spans="1:9" x14ac:dyDescent="0.3">
      <c r="A7" s="2" t="s">
        <v>14</v>
      </c>
      <c r="D7" s="2" t="s">
        <v>13</v>
      </c>
      <c r="F7" s="2" t="s">
        <v>15</v>
      </c>
      <c r="G7" s="2" t="s">
        <v>855</v>
      </c>
      <c r="H7" s="2" t="s">
        <v>899</v>
      </c>
      <c r="I7" s="2" t="s">
        <v>943</v>
      </c>
    </row>
    <row r="8" spans="1:9" x14ac:dyDescent="0.3">
      <c r="A8" s="2" t="s">
        <v>14</v>
      </c>
      <c r="D8" s="2" t="s">
        <v>16</v>
      </c>
      <c r="F8" s="2" t="s">
        <v>17</v>
      </c>
      <c r="G8" s="2" t="s">
        <v>856</v>
      </c>
      <c r="H8" s="2" t="s">
        <v>900</v>
      </c>
      <c r="I8" s="2" t="s">
        <v>944</v>
      </c>
    </row>
    <row r="9" spans="1:9" x14ac:dyDescent="0.3">
      <c r="A9" s="2" t="s">
        <v>14</v>
      </c>
      <c r="D9" s="2" t="s">
        <v>18</v>
      </c>
      <c r="F9" s="2" t="s">
        <v>19</v>
      </c>
      <c r="G9" s="2" t="s">
        <v>857</v>
      </c>
      <c r="H9" s="2" t="s">
        <v>901</v>
      </c>
      <c r="I9" s="2" t="s">
        <v>945</v>
      </c>
    </row>
    <row r="10" spans="1:9" x14ac:dyDescent="0.3">
      <c r="A10" s="2" t="s">
        <v>14</v>
      </c>
      <c r="D10" s="2" t="s">
        <v>20</v>
      </c>
      <c r="F10" s="2" t="s">
        <v>21</v>
      </c>
      <c r="G10" s="2" t="s">
        <v>858</v>
      </c>
      <c r="H10" s="2" t="s">
        <v>902</v>
      </c>
      <c r="I10" s="2" t="s">
        <v>946</v>
      </c>
    </row>
    <row r="11" spans="1:9" x14ac:dyDescent="0.3">
      <c r="A11" s="2" t="s">
        <v>14</v>
      </c>
      <c r="D11" s="2" t="s">
        <v>22</v>
      </c>
      <c r="F11" s="2" t="s">
        <v>23</v>
      </c>
      <c r="G11" s="2" t="s">
        <v>859</v>
      </c>
      <c r="H11" s="2" t="s">
        <v>903</v>
      </c>
      <c r="I11" s="2" t="s">
        <v>947</v>
      </c>
    </row>
    <row r="12" spans="1:9" x14ac:dyDescent="0.3">
      <c r="A12" s="2" t="s">
        <v>14</v>
      </c>
      <c r="D12" s="2" t="s">
        <v>24</v>
      </c>
      <c r="F12" s="2" t="s">
        <v>25</v>
      </c>
      <c r="G12" s="2" t="s">
        <v>860</v>
      </c>
      <c r="H12" s="2" t="s">
        <v>904</v>
      </c>
      <c r="I12" s="2" t="s">
        <v>948</v>
      </c>
    </row>
    <row r="13" spans="1:9" x14ac:dyDescent="0.3">
      <c r="A13" s="2" t="s">
        <v>14</v>
      </c>
      <c r="D13" s="2" t="s">
        <v>26</v>
      </c>
      <c r="F13" s="2" t="s">
        <v>27</v>
      </c>
      <c r="G13" s="2" t="s">
        <v>861</v>
      </c>
      <c r="H13" s="2" t="s">
        <v>905</v>
      </c>
      <c r="I13" s="2" t="s">
        <v>949</v>
      </c>
    </row>
    <row r="14" spans="1:9" x14ac:dyDescent="0.3">
      <c r="A14" s="2" t="s">
        <v>14</v>
      </c>
      <c r="D14" s="2" t="s">
        <v>28</v>
      </c>
      <c r="F14" s="2" t="s">
        <v>29</v>
      </c>
      <c r="G14" s="2" t="s">
        <v>862</v>
      </c>
      <c r="H14" s="2" t="s">
        <v>906</v>
      </c>
      <c r="I14" s="2" t="s">
        <v>950</v>
      </c>
    </row>
    <row r="15" spans="1:9" x14ac:dyDescent="0.3">
      <c r="A15" s="2" t="s">
        <v>14</v>
      </c>
      <c r="D15" s="2" t="s">
        <v>30</v>
      </c>
      <c r="F15" s="2" t="s">
        <v>31</v>
      </c>
      <c r="G15" s="2" t="s">
        <v>863</v>
      </c>
      <c r="H15" s="2" t="s">
        <v>907</v>
      </c>
      <c r="I15" s="2" t="s">
        <v>951</v>
      </c>
    </row>
    <row r="16" spans="1:9" x14ac:dyDescent="0.3">
      <c r="A16" s="2" t="s">
        <v>14</v>
      </c>
      <c r="D16" s="2" t="s">
        <v>32</v>
      </c>
      <c r="F16" s="2" t="s">
        <v>33</v>
      </c>
      <c r="G16" s="2" t="s">
        <v>864</v>
      </c>
      <c r="H16" s="2" t="s">
        <v>908</v>
      </c>
      <c r="I16" s="2" t="s">
        <v>952</v>
      </c>
    </row>
    <row r="17" spans="1:9" x14ac:dyDescent="0.3">
      <c r="A17" s="2" t="s">
        <v>14</v>
      </c>
      <c r="D17" s="2" t="s">
        <v>34</v>
      </c>
      <c r="F17" s="2" t="s">
        <v>35</v>
      </c>
      <c r="G17" s="2" t="s">
        <v>865</v>
      </c>
      <c r="H17" s="2" t="s">
        <v>909</v>
      </c>
      <c r="I17" s="2" t="s">
        <v>953</v>
      </c>
    </row>
    <row r="18" spans="1:9" x14ac:dyDescent="0.3">
      <c r="A18" s="2" t="s">
        <v>14</v>
      </c>
      <c r="D18" s="2" t="s">
        <v>36</v>
      </c>
      <c r="F18" s="2" t="s">
        <v>37</v>
      </c>
      <c r="G18" s="2" t="s">
        <v>866</v>
      </c>
      <c r="H18" s="2" t="s">
        <v>910</v>
      </c>
      <c r="I18" s="2" t="s">
        <v>954</v>
      </c>
    </row>
    <row r="19" spans="1:9" x14ac:dyDescent="0.3">
      <c r="A19" s="2" t="s">
        <v>14</v>
      </c>
      <c r="D19" s="2" t="s">
        <v>38</v>
      </c>
      <c r="F19" s="2" t="s">
        <v>39</v>
      </c>
      <c r="G19" s="2" t="s">
        <v>867</v>
      </c>
      <c r="H19" s="2" t="s">
        <v>911</v>
      </c>
      <c r="I19" s="2" t="s">
        <v>955</v>
      </c>
    </row>
    <row r="20" spans="1:9" x14ac:dyDescent="0.3">
      <c r="A20" s="2" t="s">
        <v>14</v>
      </c>
      <c r="D20" s="2" t="s">
        <v>40</v>
      </c>
      <c r="F20" s="2" t="s">
        <v>41</v>
      </c>
      <c r="G20" s="2" t="s">
        <v>868</v>
      </c>
      <c r="H20" s="2" t="s">
        <v>912</v>
      </c>
      <c r="I20" s="2" t="s">
        <v>956</v>
      </c>
    </row>
    <row r="21" spans="1:9" x14ac:dyDescent="0.3">
      <c r="A21" s="2" t="s">
        <v>14</v>
      </c>
      <c r="D21" s="2" t="s">
        <v>42</v>
      </c>
      <c r="F21" s="2" t="s">
        <v>43</v>
      </c>
      <c r="G21" s="2" t="s">
        <v>869</v>
      </c>
      <c r="H21" s="2" t="s">
        <v>913</v>
      </c>
      <c r="I21" s="2" t="s">
        <v>957</v>
      </c>
    </row>
    <row r="22" spans="1:9" x14ac:dyDescent="0.3">
      <c r="A22" s="2" t="s">
        <v>14</v>
      </c>
      <c r="D22" s="2" t="s">
        <v>44</v>
      </c>
      <c r="F22" s="2" t="s">
        <v>45</v>
      </c>
      <c r="G22" s="2" t="s">
        <v>870</v>
      </c>
      <c r="H22" s="2" t="s">
        <v>914</v>
      </c>
      <c r="I22" s="2" t="s">
        <v>958</v>
      </c>
    </row>
    <row r="23" spans="1:9" x14ac:dyDescent="0.3">
      <c r="A23" s="2" t="s">
        <v>14</v>
      </c>
      <c r="D23" s="2" t="s">
        <v>46</v>
      </c>
      <c r="F23" s="2" t="s">
        <v>47</v>
      </c>
      <c r="G23" s="2" t="s">
        <v>871</v>
      </c>
      <c r="H23" s="2" t="s">
        <v>915</v>
      </c>
      <c r="I23" s="2" t="s">
        <v>959</v>
      </c>
    </row>
    <row r="24" spans="1:9" x14ac:dyDescent="0.3">
      <c r="A24" s="2" t="s">
        <v>14</v>
      </c>
      <c r="D24" s="2" t="s">
        <v>48</v>
      </c>
      <c r="F24" s="2" t="s">
        <v>49</v>
      </c>
      <c r="G24" s="2" t="s">
        <v>872</v>
      </c>
      <c r="H24" s="2" t="s">
        <v>916</v>
      </c>
      <c r="I24" s="2" t="s">
        <v>960</v>
      </c>
    </row>
    <row r="25" spans="1:9" x14ac:dyDescent="0.3">
      <c r="A25" s="2" t="s">
        <v>14</v>
      </c>
      <c r="D25" s="2" t="s">
        <v>50</v>
      </c>
      <c r="F25" s="2" t="s">
        <v>51</v>
      </c>
      <c r="G25" s="2" t="s">
        <v>873</v>
      </c>
      <c r="H25" s="2" t="s">
        <v>917</v>
      </c>
      <c r="I25" s="2" t="s">
        <v>961</v>
      </c>
    </row>
    <row r="26" spans="1:9" x14ac:dyDescent="0.3">
      <c r="A26" s="2" t="s">
        <v>14</v>
      </c>
      <c r="D26" s="2" t="s">
        <v>52</v>
      </c>
      <c r="F26" s="2" t="s">
        <v>53</v>
      </c>
      <c r="G26" s="2" t="s">
        <v>874</v>
      </c>
      <c r="H26" s="2" t="s">
        <v>918</v>
      </c>
      <c r="I26" s="2" t="s">
        <v>962</v>
      </c>
    </row>
    <row r="27" spans="1:9" x14ac:dyDescent="0.3">
      <c r="A27" s="2" t="s">
        <v>14</v>
      </c>
      <c r="D27" s="2" t="s">
        <v>54</v>
      </c>
      <c r="F27" s="2" t="s">
        <v>55</v>
      </c>
      <c r="G27" s="2" t="s">
        <v>875</v>
      </c>
      <c r="H27" s="2" t="s">
        <v>919</v>
      </c>
      <c r="I27" s="2" t="s">
        <v>963</v>
      </c>
    </row>
    <row r="28" spans="1:9" x14ac:dyDescent="0.3">
      <c r="A28" s="2" t="s">
        <v>14</v>
      </c>
      <c r="D28" s="2" t="s">
        <v>56</v>
      </c>
      <c r="F28" s="2" t="s">
        <v>57</v>
      </c>
      <c r="G28" s="2" t="s">
        <v>876</v>
      </c>
      <c r="H28" s="2" t="s">
        <v>920</v>
      </c>
      <c r="I28" s="2" t="s">
        <v>964</v>
      </c>
    </row>
    <row r="29" spans="1:9" x14ac:dyDescent="0.3">
      <c r="A29" s="2" t="s">
        <v>14</v>
      </c>
      <c r="D29" s="2" t="s">
        <v>58</v>
      </c>
      <c r="F29" s="2" t="s">
        <v>59</v>
      </c>
      <c r="G29" s="2" t="s">
        <v>877</v>
      </c>
      <c r="H29" s="2" t="s">
        <v>921</v>
      </c>
      <c r="I29" s="2" t="s">
        <v>965</v>
      </c>
    </row>
    <row r="30" spans="1:9" x14ac:dyDescent="0.3">
      <c r="A30" s="2" t="s">
        <v>14</v>
      </c>
      <c r="D30" s="2" t="s">
        <v>60</v>
      </c>
      <c r="F30" s="2" t="s">
        <v>61</v>
      </c>
      <c r="G30" s="2" t="s">
        <v>878</v>
      </c>
      <c r="H30" s="2" t="s">
        <v>922</v>
      </c>
      <c r="I30" s="2" t="s">
        <v>966</v>
      </c>
    </row>
    <row r="31" spans="1:9" x14ac:dyDescent="0.3">
      <c r="A31" s="2" t="s">
        <v>14</v>
      </c>
      <c r="D31" s="2" t="s">
        <v>62</v>
      </c>
      <c r="F31" s="2" t="s">
        <v>63</v>
      </c>
      <c r="G31" s="2" t="s">
        <v>879</v>
      </c>
      <c r="H31" s="2" t="s">
        <v>923</v>
      </c>
      <c r="I31" s="2" t="s">
        <v>967</v>
      </c>
    </row>
    <row r="32" spans="1:9" x14ac:dyDescent="0.3">
      <c r="A32" s="2" t="s">
        <v>14</v>
      </c>
      <c r="D32" s="2" t="s">
        <v>64</v>
      </c>
      <c r="F32" s="2" t="s">
        <v>65</v>
      </c>
      <c r="G32" s="2" t="s">
        <v>880</v>
      </c>
      <c r="H32" s="2" t="s">
        <v>924</v>
      </c>
      <c r="I32" s="2" t="s">
        <v>968</v>
      </c>
    </row>
    <row r="33" spans="1:9" x14ac:dyDescent="0.3">
      <c r="A33" s="2" t="s">
        <v>14</v>
      </c>
      <c r="D33" s="2" t="s">
        <v>66</v>
      </c>
      <c r="F33" s="2" t="s">
        <v>67</v>
      </c>
      <c r="G33" s="2" t="s">
        <v>881</v>
      </c>
      <c r="H33" s="2" t="s">
        <v>925</v>
      </c>
      <c r="I33" s="2" t="s">
        <v>969</v>
      </c>
    </row>
    <row r="34" spans="1:9" x14ac:dyDescent="0.3">
      <c r="A34" s="2" t="s">
        <v>14</v>
      </c>
      <c r="D34" s="2" t="s">
        <v>68</v>
      </c>
      <c r="F34" s="2" t="s">
        <v>69</v>
      </c>
      <c r="G34" s="2" t="s">
        <v>882</v>
      </c>
      <c r="H34" s="2" t="s">
        <v>926</v>
      </c>
      <c r="I34" s="2" t="s">
        <v>970</v>
      </c>
    </row>
    <row r="35" spans="1:9" x14ac:dyDescent="0.3">
      <c r="A35" s="2" t="s">
        <v>14</v>
      </c>
      <c r="D35" s="2" t="s">
        <v>70</v>
      </c>
      <c r="F35" s="2" t="s">
        <v>71</v>
      </c>
      <c r="G35" s="2" t="s">
        <v>883</v>
      </c>
      <c r="H35" s="2" t="s">
        <v>927</v>
      </c>
      <c r="I35" s="2" t="s">
        <v>971</v>
      </c>
    </row>
    <row r="36" spans="1:9" x14ac:dyDescent="0.3">
      <c r="A36" s="2" t="s">
        <v>14</v>
      </c>
      <c r="D36" s="2" t="s">
        <v>72</v>
      </c>
      <c r="F36" s="2" t="s">
        <v>73</v>
      </c>
      <c r="G36" s="2" t="s">
        <v>884</v>
      </c>
      <c r="H36" s="2" t="s">
        <v>928</v>
      </c>
      <c r="I36" s="2" t="s">
        <v>972</v>
      </c>
    </row>
    <row r="37" spans="1:9" x14ac:dyDescent="0.3">
      <c r="A37" s="2" t="s">
        <v>14</v>
      </c>
      <c r="D37" s="2" t="s">
        <v>74</v>
      </c>
      <c r="F37" s="2" t="s">
        <v>75</v>
      </c>
      <c r="G37" s="2" t="s">
        <v>885</v>
      </c>
      <c r="H37" s="2" t="s">
        <v>929</v>
      </c>
      <c r="I37" s="2" t="s">
        <v>973</v>
      </c>
    </row>
    <row r="38" spans="1:9" x14ac:dyDescent="0.3">
      <c r="A38" s="2" t="s">
        <v>14</v>
      </c>
      <c r="D38" s="2" t="s">
        <v>76</v>
      </c>
      <c r="F38" s="2" t="s">
        <v>77</v>
      </c>
      <c r="G38" s="2" t="s">
        <v>886</v>
      </c>
      <c r="H38" s="2" t="s">
        <v>930</v>
      </c>
      <c r="I38" s="2" t="s">
        <v>974</v>
      </c>
    </row>
    <row r="39" spans="1:9" x14ac:dyDescent="0.3">
      <c r="A39" s="2" t="s">
        <v>14</v>
      </c>
      <c r="D39" s="2" t="s">
        <v>78</v>
      </c>
      <c r="F39" s="2" t="s">
        <v>79</v>
      </c>
      <c r="G39" s="2" t="s">
        <v>887</v>
      </c>
      <c r="H39" s="2" t="s">
        <v>931</v>
      </c>
      <c r="I39" s="2" t="s">
        <v>975</v>
      </c>
    </row>
    <row r="40" spans="1:9" x14ac:dyDescent="0.3">
      <c r="A40" s="2" t="s">
        <v>14</v>
      </c>
      <c r="D40" s="2" t="s">
        <v>80</v>
      </c>
      <c r="F40" s="2" t="s">
        <v>81</v>
      </c>
      <c r="G40" s="2" t="s">
        <v>888</v>
      </c>
      <c r="H40" s="2" t="s">
        <v>932</v>
      </c>
      <c r="I40" s="2" t="s">
        <v>976</v>
      </c>
    </row>
    <row r="41" spans="1:9" x14ac:dyDescent="0.3">
      <c r="A41" s="2" t="s">
        <v>14</v>
      </c>
      <c r="D41" s="2" t="s">
        <v>82</v>
      </c>
      <c r="F41" s="2" t="s">
        <v>83</v>
      </c>
      <c r="G41" s="2" t="s">
        <v>889</v>
      </c>
      <c r="H41" s="2" t="s">
        <v>933</v>
      </c>
      <c r="I41" s="2" t="s">
        <v>977</v>
      </c>
    </row>
    <row r="42" spans="1:9" x14ac:dyDescent="0.3">
      <c r="A42" s="2" t="s">
        <v>14</v>
      </c>
      <c r="D42" s="2" t="s">
        <v>84</v>
      </c>
      <c r="F42" s="2" t="s">
        <v>85</v>
      </c>
      <c r="G42" s="2" t="s">
        <v>890</v>
      </c>
      <c r="H42" s="2" t="s">
        <v>934</v>
      </c>
      <c r="I42" s="2" t="s">
        <v>978</v>
      </c>
    </row>
    <row r="43" spans="1:9" x14ac:dyDescent="0.3">
      <c r="A43" s="2" t="s">
        <v>14</v>
      </c>
      <c r="D43" s="2" t="s">
        <v>86</v>
      </c>
      <c r="F43" s="2" t="s">
        <v>87</v>
      </c>
      <c r="G43" s="2" t="s">
        <v>891</v>
      </c>
      <c r="H43" s="2" t="s">
        <v>935</v>
      </c>
      <c r="I43" s="2" t="s">
        <v>979</v>
      </c>
    </row>
    <row r="44" spans="1:9" x14ac:dyDescent="0.3">
      <c r="A44" s="2" t="s">
        <v>14</v>
      </c>
      <c r="D44" s="2" t="s">
        <v>88</v>
      </c>
      <c r="F44" s="2" t="s">
        <v>89</v>
      </c>
      <c r="G44" s="2" t="s">
        <v>892</v>
      </c>
      <c r="H44" s="2" t="s">
        <v>936</v>
      </c>
      <c r="I44" s="2" t="s">
        <v>980</v>
      </c>
    </row>
    <row r="45" spans="1:9" x14ac:dyDescent="0.3">
      <c r="A45" s="2" t="s">
        <v>14</v>
      </c>
      <c r="D45" s="2" t="s">
        <v>90</v>
      </c>
      <c r="F45" s="2" t="s">
        <v>91</v>
      </c>
      <c r="G45" s="2" t="s">
        <v>893</v>
      </c>
      <c r="H45" s="2" t="s">
        <v>937</v>
      </c>
      <c r="I45" s="2" t="s">
        <v>981</v>
      </c>
    </row>
    <row r="46" spans="1:9" x14ac:dyDescent="0.3">
      <c r="A46" s="2" t="s">
        <v>14</v>
      </c>
      <c r="D46" s="2" t="s">
        <v>92</v>
      </c>
      <c r="F46" s="2" t="s">
        <v>93</v>
      </c>
      <c r="G46" s="2" t="s">
        <v>894</v>
      </c>
      <c r="H46" s="2" t="s">
        <v>938</v>
      </c>
      <c r="I46" s="2" t="s">
        <v>982</v>
      </c>
    </row>
    <row r="47" spans="1:9" x14ac:dyDescent="0.3">
      <c r="A47" s="2" t="s">
        <v>14</v>
      </c>
      <c r="D47" s="2" t="s">
        <v>94</v>
      </c>
      <c r="F47" s="2" t="s">
        <v>95</v>
      </c>
      <c r="G47" s="2" t="s">
        <v>895</v>
      </c>
      <c r="H47" s="2" t="s">
        <v>939</v>
      </c>
      <c r="I47" s="2" t="s">
        <v>983</v>
      </c>
    </row>
    <row r="48" spans="1:9" x14ac:dyDescent="0.3">
      <c r="A48" s="2" t="s">
        <v>14</v>
      </c>
      <c r="D48" s="2" t="s">
        <v>96</v>
      </c>
      <c r="F48" s="2" t="s">
        <v>97</v>
      </c>
      <c r="G48" s="2" t="s">
        <v>896</v>
      </c>
      <c r="H48" s="2" t="s">
        <v>940</v>
      </c>
      <c r="I48" s="2" t="s">
        <v>984</v>
      </c>
    </row>
    <row r="49" spans="1:9" x14ac:dyDescent="0.3">
      <c r="A49" s="2" t="s">
        <v>14</v>
      </c>
      <c r="D49" s="2" t="s">
        <v>98</v>
      </c>
      <c r="F49" s="2" t="s">
        <v>99</v>
      </c>
      <c r="G49" s="2" t="s">
        <v>897</v>
      </c>
      <c r="H49" s="2" t="s">
        <v>941</v>
      </c>
      <c r="I49" s="2" t="s">
        <v>985</v>
      </c>
    </row>
    <row r="50" spans="1:9" x14ac:dyDescent="0.3">
      <c r="A50" s="2" t="s">
        <v>14</v>
      </c>
      <c r="D50" s="2" t="s">
        <v>100</v>
      </c>
      <c r="F50" s="2" t="s">
        <v>101</v>
      </c>
      <c r="G50" s="2" t="s">
        <v>898</v>
      </c>
      <c r="H50" s="2" t="s">
        <v>942</v>
      </c>
      <c r="I50" s="2" t="s">
        <v>986</v>
      </c>
    </row>
    <row r="51" spans="1:9" x14ac:dyDescent="0.3">
      <c r="D51" s="2" t="s">
        <v>13</v>
      </c>
    </row>
    <row r="52" spans="1:9" x14ac:dyDescent="0.3">
      <c r="A52" s="2" t="s">
        <v>14</v>
      </c>
      <c r="D52" s="2" t="s">
        <v>102</v>
      </c>
      <c r="E52" s="2" t="s">
        <v>103</v>
      </c>
      <c r="G52" s="2" t="s">
        <v>3</v>
      </c>
      <c r="H52" s="2" t="s">
        <v>4</v>
      </c>
      <c r="I52" s="2" t="s">
        <v>5</v>
      </c>
    </row>
    <row r="53" spans="1:9" x14ac:dyDescent="0.3">
      <c r="A53" s="2" t="s">
        <v>14</v>
      </c>
      <c r="D53" s="2" t="s">
        <v>104</v>
      </c>
      <c r="F53" s="2" t="s">
        <v>105</v>
      </c>
      <c r="G53" s="2" t="s">
        <v>1965</v>
      </c>
      <c r="H53" s="2" t="s">
        <v>2006</v>
      </c>
      <c r="I53" s="2" t="s">
        <v>2047</v>
      </c>
    </row>
    <row r="54" spans="1:9" x14ac:dyDescent="0.3">
      <c r="A54" s="2" t="s">
        <v>14</v>
      </c>
      <c r="D54" s="2" t="s">
        <v>106</v>
      </c>
      <c r="F54" s="2" t="s">
        <v>107</v>
      </c>
      <c r="G54" s="2" t="s">
        <v>1966</v>
      </c>
      <c r="H54" s="2" t="s">
        <v>2007</v>
      </c>
      <c r="I54" s="2" t="s">
        <v>2048</v>
      </c>
    </row>
    <row r="55" spans="1:9" x14ac:dyDescent="0.3">
      <c r="A55" s="2" t="s">
        <v>14</v>
      </c>
      <c r="D55" s="2" t="s">
        <v>108</v>
      </c>
      <c r="F55" s="2" t="s">
        <v>109</v>
      </c>
      <c r="G55" s="2" t="s">
        <v>1967</v>
      </c>
      <c r="H55" s="2" t="s">
        <v>2008</v>
      </c>
      <c r="I55" s="2" t="s">
        <v>2049</v>
      </c>
    </row>
    <row r="56" spans="1:9" x14ac:dyDescent="0.3">
      <c r="A56" s="2" t="s">
        <v>14</v>
      </c>
      <c r="D56" s="2" t="s">
        <v>110</v>
      </c>
      <c r="F56" s="2" t="s">
        <v>111</v>
      </c>
      <c r="G56" s="2" t="s">
        <v>1968</v>
      </c>
      <c r="H56" s="2" t="s">
        <v>2009</v>
      </c>
      <c r="I56" s="2" t="s">
        <v>2050</v>
      </c>
    </row>
    <row r="57" spans="1:9" x14ac:dyDescent="0.3">
      <c r="A57" s="2" t="s">
        <v>14</v>
      </c>
      <c r="D57" s="2" t="s">
        <v>112</v>
      </c>
      <c r="F57" s="2" t="s">
        <v>113</v>
      </c>
      <c r="G57" s="2" t="s">
        <v>1969</v>
      </c>
      <c r="H57" s="2" t="s">
        <v>2010</v>
      </c>
      <c r="I57" s="2" t="s">
        <v>2051</v>
      </c>
    </row>
    <row r="58" spans="1:9" x14ac:dyDescent="0.3">
      <c r="A58" s="2" t="s">
        <v>14</v>
      </c>
      <c r="D58" s="2" t="s">
        <v>114</v>
      </c>
      <c r="F58" s="2" t="s">
        <v>115</v>
      </c>
      <c r="G58" s="2" t="s">
        <v>1970</v>
      </c>
      <c r="H58" s="2" t="s">
        <v>2011</v>
      </c>
      <c r="I58" s="2" t="s">
        <v>2052</v>
      </c>
    </row>
    <row r="59" spans="1:9" x14ac:dyDescent="0.3">
      <c r="A59" s="2" t="s">
        <v>14</v>
      </c>
      <c r="D59" s="2" t="s">
        <v>116</v>
      </c>
      <c r="F59" s="2" t="s">
        <v>117</v>
      </c>
      <c r="G59" s="2" t="s">
        <v>1971</v>
      </c>
      <c r="H59" s="2" t="s">
        <v>2012</v>
      </c>
      <c r="I59" s="2" t="s">
        <v>2053</v>
      </c>
    </row>
    <row r="60" spans="1:9" x14ac:dyDescent="0.3">
      <c r="A60" s="2" t="s">
        <v>14</v>
      </c>
      <c r="D60" s="2" t="s">
        <v>118</v>
      </c>
      <c r="F60" s="2" t="s">
        <v>119</v>
      </c>
      <c r="G60" s="2" t="s">
        <v>1972</v>
      </c>
      <c r="H60" s="2" t="s">
        <v>2013</v>
      </c>
      <c r="I60" s="2" t="s">
        <v>2054</v>
      </c>
    </row>
    <row r="61" spans="1:9" x14ac:dyDescent="0.3">
      <c r="A61" s="2" t="s">
        <v>14</v>
      </c>
      <c r="D61" s="2" t="s">
        <v>120</v>
      </c>
      <c r="F61" s="2" t="s">
        <v>121</v>
      </c>
      <c r="G61" s="2" t="s">
        <v>1973</v>
      </c>
      <c r="H61" s="2" t="s">
        <v>2014</v>
      </c>
      <c r="I61" s="2" t="s">
        <v>2055</v>
      </c>
    </row>
    <row r="62" spans="1:9" x14ac:dyDescent="0.3">
      <c r="A62" s="2" t="s">
        <v>14</v>
      </c>
      <c r="D62" s="2" t="s">
        <v>122</v>
      </c>
      <c r="F62" s="2" t="s">
        <v>123</v>
      </c>
      <c r="G62" s="2" t="s">
        <v>1974</v>
      </c>
      <c r="H62" s="2" t="s">
        <v>2015</v>
      </c>
      <c r="I62" s="2" t="s">
        <v>2056</v>
      </c>
    </row>
    <row r="63" spans="1:9" x14ac:dyDescent="0.3">
      <c r="A63" s="2" t="s">
        <v>14</v>
      </c>
      <c r="D63" s="2" t="s">
        <v>124</v>
      </c>
      <c r="F63" s="2" t="s">
        <v>125</v>
      </c>
      <c r="G63" s="2" t="s">
        <v>1975</v>
      </c>
      <c r="H63" s="2" t="s">
        <v>2016</v>
      </c>
      <c r="I63" s="2" t="s">
        <v>2057</v>
      </c>
    </row>
    <row r="64" spans="1:9" x14ac:dyDescent="0.3">
      <c r="A64" s="2" t="s">
        <v>14</v>
      </c>
      <c r="D64" s="2" t="s">
        <v>126</v>
      </c>
      <c r="F64" s="2" t="s">
        <v>127</v>
      </c>
      <c r="G64" s="2" t="s">
        <v>1976</v>
      </c>
      <c r="H64" s="2" t="s">
        <v>2017</v>
      </c>
      <c r="I64" s="2" t="s">
        <v>2058</v>
      </c>
    </row>
    <row r="65" spans="1:9" x14ac:dyDescent="0.3">
      <c r="A65" s="2" t="s">
        <v>14</v>
      </c>
      <c r="D65" s="2" t="s">
        <v>128</v>
      </c>
      <c r="F65" s="2" t="s">
        <v>129</v>
      </c>
      <c r="G65" s="2" t="s">
        <v>1977</v>
      </c>
      <c r="H65" s="2" t="s">
        <v>2018</v>
      </c>
      <c r="I65" s="2" t="s">
        <v>2059</v>
      </c>
    </row>
    <row r="66" spans="1:9" x14ac:dyDescent="0.3">
      <c r="A66" s="2" t="s">
        <v>14</v>
      </c>
      <c r="D66" s="2" t="s">
        <v>130</v>
      </c>
      <c r="F66" s="2" t="s">
        <v>131</v>
      </c>
      <c r="G66" s="2" t="s">
        <v>1978</v>
      </c>
      <c r="H66" s="2" t="s">
        <v>2019</v>
      </c>
      <c r="I66" s="2" t="s">
        <v>2060</v>
      </c>
    </row>
    <row r="67" spans="1:9" x14ac:dyDescent="0.3">
      <c r="A67" s="2" t="s">
        <v>14</v>
      </c>
      <c r="D67" s="2" t="s">
        <v>132</v>
      </c>
      <c r="F67" s="2" t="s">
        <v>133</v>
      </c>
      <c r="G67" s="2" t="s">
        <v>1979</v>
      </c>
      <c r="H67" s="2" t="s">
        <v>2020</v>
      </c>
      <c r="I67" s="2" t="s">
        <v>2061</v>
      </c>
    </row>
    <row r="68" spans="1:9" x14ac:dyDescent="0.3">
      <c r="A68" s="2" t="s">
        <v>14</v>
      </c>
      <c r="D68" s="2" t="s">
        <v>134</v>
      </c>
      <c r="F68" s="2" t="s">
        <v>135</v>
      </c>
      <c r="G68" s="2" t="s">
        <v>1980</v>
      </c>
      <c r="H68" s="2" t="s">
        <v>2021</v>
      </c>
      <c r="I68" s="2" t="s">
        <v>2062</v>
      </c>
    </row>
    <row r="69" spans="1:9" x14ac:dyDescent="0.3">
      <c r="A69" s="2" t="s">
        <v>14</v>
      </c>
      <c r="D69" s="2" t="s">
        <v>136</v>
      </c>
      <c r="F69" s="2" t="s">
        <v>137</v>
      </c>
      <c r="G69" s="2" t="s">
        <v>1981</v>
      </c>
      <c r="H69" s="2" t="s">
        <v>2022</v>
      </c>
      <c r="I69" s="2" t="s">
        <v>2063</v>
      </c>
    </row>
    <row r="70" spans="1:9" x14ac:dyDescent="0.3">
      <c r="A70" s="2" t="s">
        <v>14</v>
      </c>
      <c r="D70" s="2" t="s">
        <v>138</v>
      </c>
      <c r="F70" s="2" t="s">
        <v>139</v>
      </c>
      <c r="G70" s="2" t="s">
        <v>1982</v>
      </c>
      <c r="H70" s="2" t="s">
        <v>2023</v>
      </c>
      <c r="I70" s="2" t="s">
        <v>2064</v>
      </c>
    </row>
    <row r="71" spans="1:9" x14ac:dyDescent="0.3">
      <c r="A71" s="2" t="s">
        <v>14</v>
      </c>
      <c r="D71" s="2" t="s">
        <v>140</v>
      </c>
      <c r="F71" s="2" t="s">
        <v>141</v>
      </c>
      <c r="G71" s="2" t="s">
        <v>1983</v>
      </c>
      <c r="H71" s="2" t="s">
        <v>2024</v>
      </c>
      <c r="I71" s="2" t="s">
        <v>2065</v>
      </c>
    </row>
    <row r="72" spans="1:9" x14ac:dyDescent="0.3">
      <c r="A72" s="2" t="s">
        <v>14</v>
      </c>
      <c r="D72" s="2" t="s">
        <v>142</v>
      </c>
      <c r="F72" s="2" t="s">
        <v>143</v>
      </c>
      <c r="G72" s="2" t="s">
        <v>1984</v>
      </c>
      <c r="H72" s="2" t="s">
        <v>2025</v>
      </c>
      <c r="I72" s="2" t="s">
        <v>2066</v>
      </c>
    </row>
    <row r="73" spans="1:9" x14ac:dyDescent="0.3">
      <c r="A73" s="2" t="s">
        <v>14</v>
      </c>
      <c r="D73" s="2" t="s">
        <v>144</v>
      </c>
      <c r="F73" s="2" t="s">
        <v>145</v>
      </c>
      <c r="G73" s="2" t="s">
        <v>1985</v>
      </c>
      <c r="H73" s="2" t="s">
        <v>2026</v>
      </c>
      <c r="I73" s="2" t="s">
        <v>2067</v>
      </c>
    </row>
    <row r="74" spans="1:9" x14ac:dyDescent="0.3">
      <c r="A74" s="2" t="s">
        <v>14</v>
      </c>
      <c r="D74" s="2" t="s">
        <v>146</v>
      </c>
      <c r="F74" s="2" t="s">
        <v>147</v>
      </c>
      <c r="G74" s="2" t="s">
        <v>1986</v>
      </c>
      <c r="H74" s="2" t="s">
        <v>2027</v>
      </c>
      <c r="I74" s="2" t="s">
        <v>2068</v>
      </c>
    </row>
    <row r="75" spans="1:9" x14ac:dyDescent="0.3">
      <c r="A75" s="2" t="s">
        <v>14</v>
      </c>
      <c r="D75" s="2" t="s">
        <v>148</v>
      </c>
      <c r="F75" s="2" t="s">
        <v>149</v>
      </c>
      <c r="G75" s="2" t="s">
        <v>1987</v>
      </c>
      <c r="H75" s="2" t="s">
        <v>2028</v>
      </c>
      <c r="I75" s="2" t="s">
        <v>2069</v>
      </c>
    </row>
    <row r="76" spans="1:9" x14ac:dyDescent="0.3">
      <c r="A76" s="2" t="s">
        <v>14</v>
      </c>
      <c r="D76" s="2" t="s">
        <v>150</v>
      </c>
      <c r="F76" s="2" t="s">
        <v>151</v>
      </c>
      <c r="G76" s="2" t="s">
        <v>1988</v>
      </c>
      <c r="H76" s="2" t="s">
        <v>2029</v>
      </c>
      <c r="I76" s="2" t="s">
        <v>2070</v>
      </c>
    </row>
    <row r="77" spans="1:9" x14ac:dyDescent="0.3">
      <c r="A77" s="2" t="s">
        <v>14</v>
      </c>
      <c r="D77" s="2" t="s">
        <v>152</v>
      </c>
      <c r="F77" s="2" t="s">
        <v>153</v>
      </c>
      <c r="G77" s="2" t="s">
        <v>1989</v>
      </c>
      <c r="H77" s="2" t="s">
        <v>2030</v>
      </c>
      <c r="I77" s="2" t="s">
        <v>2071</v>
      </c>
    </row>
    <row r="78" spans="1:9" x14ac:dyDescent="0.3">
      <c r="A78" s="2" t="s">
        <v>14</v>
      </c>
      <c r="D78" s="2" t="s">
        <v>154</v>
      </c>
      <c r="F78" s="2" t="s">
        <v>155</v>
      </c>
      <c r="G78" s="2" t="s">
        <v>1990</v>
      </c>
      <c r="H78" s="2" t="s">
        <v>2031</v>
      </c>
      <c r="I78" s="2" t="s">
        <v>2072</v>
      </c>
    </row>
    <row r="79" spans="1:9" x14ac:dyDescent="0.3">
      <c r="A79" s="2" t="s">
        <v>14</v>
      </c>
      <c r="D79" s="2" t="s">
        <v>156</v>
      </c>
      <c r="F79" s="2" t="s">
        <v>157</v>
      </c>
      <c r="G79" s="2" t="s">
        <v>1991</v>
      </c>
      <c r="H79" s="2" t="s">
        <v>2032</v>
      </c>
      <c r="I79" s="2" t="s">
        <v>2073</v>
      </c>
    </row>
    <row r="80" spans="1:9" x14ac:dyDescent="0.3">
      <c r="A80" s="2" t="s">
        <v>14</v>
      </c>
      <c r="D80" s="2" t="s">
        <v>158</v>
      </c>
      <c r="F80" s="2" t="s">
        <v>159</v>
      </c>
      <c r="G80" s="2" t="s">
        <v>1992</v>
      </c>
      <c r="H80" s="2" t="s">
        <v>2033</v>
      </c>
      <c r="I80" s="2" t="s">
        <v>2074</v>
      </c>
    </row>
    <row r="81" spans="1:9" x14ac:dyDescent="0.3">
      <c r="A81" s="2" t="s">
        <v>14</v>
      </c>
      <c r="D81" s="2" t="s">
        <v>160</v>
      </c>
      <c r="F81" s="2" t="s">
        <v>161</v>
      </c>
      <c r="G81" s="2" t="s">
        <v>1993</v>
      </c>
      <c r="H81" s="2" t="s">
        <v>2034</v>
      </c>
      <c r="I81" s="2" t="s">
        <v>2075</v>
      </c>
    </row>
    <row r="82" spans="1:9" x14ac:dyDescent="0.3">
      <c r="A82" s="2" t="s">
        <v>14</v>
      </c>
      <c r="D82" s="2" t="s">
        <v>162</v>
      </c>
      <c r="F82" s="2" t="s">
        <v>163</v>
      </c>
      <c r="G82" s="2" t="s">
        <v>1994</v>
      </c>
      <c r="H82" s="2" t="s">
        <v>2035</v>
      </c>
      <c r="I82" s="2" t="s">
        <v>2076</v>
      </c>
    </row>
    <row r="83" spans="1:9" x14ac:dyDescent="0.3">
      <c r="A83" s="2" t="s">
        <v>14</v>
      </c>
      <c r="D83" s="2" t="s">
        <v>164</v>
      </c>
      <c r="F83" s="2" t="s">
        <v>165</v>
      </c>
      <c r="G83" s="2" t="s">
        <v>1995</v>
      </c>
      <c r="H83" s="2" t="s">
        <v>2036</v>
      </c>
      <c r="I83" s="2" t="s">
        <v>2077</v>
      </c>
    </row>
    <row r="84" spans="1:9" x14ac:dyDescent="0.3">
      <c r="A84" s="2" t="s">
        <v>14</v>
      </c>
      <c r="D84" s="2" t="s">
        <v>166</v>
      </c>
      <c r="F84" s="2" t="s">
        <v>167</v>
      </c>
      <c r="G84" s="2" t="s">
        <v>1996</v>
      </c>
      <c r="H84" s="2" t="s">
        <v>2037</v>
      </c>
      <c r="I84" s="2" t="s">
        <v>2078</v>
      </c>
    </row>
    <row r="85" spans="1:9" x14ac:dyDescent="0.3">
      <c r="A85" s="2" t="s">
        <v>14</v>
      </c>
      <c r="D85" s="2" t="s">
        <v>168</v>
      </c>
      <c r="F85" s="2" t="s">
        <v>169</v>
      </c>
      <c r="G85" s="2" t="s">
        <v>1997</v>
      </c>
      <c r="H85" s="2" t="s">
        <v>2038</v>
      </c>
      <c r="I85" s="2" t="s">
        <v>2079</v>
      </c>
    </row>
    <row r="86" spans="1:9" x14ac:dyDescent="0.3">
      <c r="A86" s="2" t="s">
        <v>14</v>
      </c>
      <c r="D86" s="2" t="s">
        <v>170</v>
      </c>
      <c r="F86" s="2" t="s">
        <v>171</v>
      </c>
      <c r="G86" s="2" t="s">
        <v>1998</v>
      </c>
      <c r="H86" s="2" t="s">
        <v>2039</v>
      </c>
      <c r="I86" s="2" t="s">
        <v>2080</v>
      </c>
    </row>
    <row r="87" spans="1:9" x14ac:dyDescent="0.3">
      <c r="A87" s="2" t="s">
        <v>14</v>
      </c>
      <c r="D87" s="2" t="s">
        <v>172</v>
      </c>
      <c r="F87" s="2" t="s">
        <v>173</v>
      </c>
      <c r="G87" s="2" t="s">
        <v>1999</v>
      </c>
      <c r="H87" s="2" t="s">
        <v>2040</v>
      </c>
      <c r="I87" s="2" t="s">
        <v>2081</v>
      </c>
    </row>
    <row r="88" spans="1:9" x14ac:dyDescent="0.3">
      <c r="A88" s="2" t="s">
        <v>14</v>
      </c>
      <c r="D88" s="2" t="s">
        <v>174</v>
      </c>
      <c r="F88" s="2" t="s">
        <v>175</v>
      </c>
      <c r="G88" s="2" t="s">
        <v>2000</v>
      </c>
      <c r="H88" s="2" t="s">
        <v>2041</v>
      </c>
      <c r="I88" s="2" t="s">
        <v>2082</v>
      </c>
    </row>
    <row r="89" spans="1:9" x14ac:dyDescent="0.3">
      <c r="A89" s="2" t="s">
        <v>14</v>
      </c>
      <c r="D89" s="2" t="s">
        <v>176</v>
      </c>
      <c r="F89" s="2" t="s">
        <v>177</v>
      </c>
      <c r="G89" s="2" t="s">
        <v>2001</v>
      </c>
      <c r="H89" s="2" t="s">
        <v>2042</v>
      </c>
      <c r="I89" s="2" t="s">
        <v>2083</v>
      </c>
    </row>
    <row r="90" spans="1:9" x14ac:dyDescent="0.3">
      <c r="A90" s="2" t="s">
        <v>14</v>
      </c>
      <c r="D90" s="2" t="s">
        <v>178</v>
      </c>
      <c r="F90" s="2" t="s">
        <v>179</v>
      </c>
      <c r="G90" s="2" t="s">
        <v>2002</v>
      </c>
      <c r="H90" s="2" t="s">
        <v>2043</v>
      </c>
      <c r="I90" s="2" t="s">
        <v>2084</v>
      </c>
    </row>
    <row r="91" spans="1:9" x14ac:dyDescent="0.3">
      <c r="A91" s="2" t="s">
        <v>14</v>
      </c>
      <c r="D91" s="2" t="s">
        <v>180</v>
      </c>
      <c r="F91" s="2" t="s">
        <v>181</v>
      </c>
      <c r="G91" s="2" t="s">
        <v>2003</v>
      </c>
      <c r="H91" s="2" t="s">
        <v>2044</v>
      </c>
      <c r="I91" s="2" t="s">
        <v>2085</v>
      </c>
    </row>
    <row r="92" spans="1:9" x14ac:dyDescent="0.3">
      <c r="A92" s="2" t="s">
        <v>14</v>
      </c>
      <c r="D92" s="2" t="s">
        <v>182</v>
      </c>
      <c r="F92" s="2" t="s">
        <v>183</v>
      </c>
      <c r="G92" s="2" t="s">
        <v>2004</v>
      </c>
      <c r="H92" s="2" t="s">
        <v>2045</v>
      </c>
      <c r="I92" s="2" t="s">
        <v>2086</v>
      </c>
    </row>
    <row r="93" spans="1:9" x14ac:dyDescent="0.3">
      <c r="A93" s="2" t="s">
        <v>14</v>
      </c>
      <c r="D93" s="2" t="s">
        <v>184</v>
      </c>
      <c r="F93" s="2" t="s">
        <v>185</v>
      </c>
      <c r="G93" s="2" t="s">
        <v>2005</v>
      </c>
      <c r="H93" s="2" t="s">
        <v>2046</v>
      </c>
      <c r="I93" s="2" t="s">
        <v>2087</v>
      </c>
    </row>
    <row r="94" spans="1:9" x14ac:dyDescent="0.3">
      <c r="A94" s="2" t="s">
        <v>14</v>
      </c>
      <c r="D94" s="2" t="s">
        <v>2091</v>
      </c>
      <c r="F94" s="2" t="s">
        <v>2092</v>
      </c>
      <c r="G94" s="2" t="s">
        <v>2634</v>
      </c>
      <c r="H94" s="2" t="s">
        <v>2636</v>
      </c>
      <c r="I94" s="2" t="s">
        <v>2638</v>
      </c>
    </row>
    <row r="95" spans="1:9" x14ac:dyDescent="0.3">
      <c r="A95" s="2" t="s">
        <v>14</v>
      </c>
      <c r="D95" s="2" t="s">
        <v>2093</v>
      </c>
      <c r="F95" s="2" t="s">
        <v>2094</v>
      </c>
      <c r="G95" s="2" t="s">
        <v>2635</v>
      </c>
      <c r="H95" s="2" t="s">
        <v>2637</v>
      </c>
      <c r="I95" s="2" t="s">
        <v>2639</v>
      </c>
    </row>
    <row r="96" spans="1:9" x14ac:dyDescent="0.3">
      <c r="A96" s="2" t="s">
        <v>14</v>
      </c>
      <c r="D96" s="2" t="s">
        <v>187</v>
      </c>
      <c r="F96" s="2" t="s">
        <v>2095</v>
      </c>
      <c r="G96" s="2" t="s">
        <v>188</v>
      </c>
      <c r="H96" s="2" t="s">
        <v>189</v>
      </c>
      <c r="I96" s="2" t="s">
        <v>190</v>
      </c>
    </row>
    <row r="97" spans="1:9" x14ac:dyDescent="0.3">
      <c r="A97" s="2" t="s">
        <v>14</v>
      </c>
      <c r="D97" s="2" t="s">
        <v>106</v>
      </c>
    </row>
    <row r="98" spans="1:9" x14ac:dyDescent="0.3">
      <c r="A98" s="2" t="s">
        <v>14</v>
      </c>
      <c r="D98" s="2" t="s">
        <v>191</v>
      </c>
      <c r="E98" s="2" t="s">
        <v>186</v>
      </c>
      <c r="G98" s="2" t="s">
        <v>3</v>
      </c>
      <c r="H98" s="2" t="s">
        <v>4</v>
      </c>
      <c r="I98" s="2" t="s">
        <v>5</v>
      </c>
    </row>
    <row r="99" spans="1:9" x14ac:dyDescent="0.3">
      <c r="A99" s="2" t="s">
        <v>14</v>
      </c>
      <c r="D99" s="2" t="s">
        <v>193</v>
      </c>
      <c r="F99" s="2" t="s">
        <v>194</v>
      </c>
      <c r="G99" s="2" t="s">
        <v>1935</v>
      </c>
      <c r="H99" s="2" t="s">
        <v>1945</v>
      </c>
      <c r="I99" s="2" t="s">
        <v>1955</v>
      </c>
    </row>
    <row r="100" spans="1:9" x14ac:dyDescent="0.3">
      <c r="A100" s="2" t="s">
        <v>14</v>
      </c>
      <c r="D100" s="2" t="s">
        <v>195</v>
      </c>
    </row>
    <row r="101" spans="1:9" x14ac:dyDescent="0.3">
      <c r="A101" s="2" t="s">
        <v>14</v>
      </c>
      <c r="D101" s="2" t="s">
        <v>2096</v>
      </c>
      <c r="E101" s="2" t="s">
        <v>192</v>
      </c>
      <c r="G101" s="2" t="s">
        <v>3</v>
      </c>
      <c r="H101" s="2" t="s">
        <v>4</v>
      </c>
      <c r="I101" s="2" t="s">
        <v>5</v>
      </c>
    </row>
    <row r="102" spans="1:9" x14ac:dyDescent="0.3">
      <c r="A102" s="2" t="s">
        <v>14</v>
      </c>
      <c r="D102" s="2" t="s">
        <v>198</v>
      </c>
      <c r="F102" s="2" t="s">
        <v>2097</v>
      </c>
      <c r="G102" s="2" t="s">
        <v>1936</v>
      </c>
      <c r="H102" s="2" t="s">
        <v>1946</v>
      </c>
      <c r="I102" s="2" t="s">
        <v>1956</v>
      </c>
    </row>
    <row r="103" spans="1:9" x14ac:dyDescent="0.3">
      <c r="A103" s="2" t="s">
        <v>14</v>
      </c>
      <c r="D103" s="2" t="s">
        <v>200</v>
      </c>
      <c r="F103" s="2" t="s">
        <v>196</v>
      </c>
      <c r="G103" s="2" t="s">
        <v>1937</v>
      </c>
      <c r="H103" s="2" t="s">
        <v>1947</v>
      </c>
      <c r="I103" s="2" t="s">
        <v>1957</v>
      </c>
    </row>
    <row r="104" spans="1:9" x14ac:dyDescent="0.3">
      <c r="A104" s="2" t="s">
        <v>14</v>
      </c>
      <c r="D104" s="2" t="s">
        <v>202</v>
      </c>
      <c r="F104" s="2" t="s">
        <v>197</v>
      </c>
      <c r="G104" s="2" t="s">
        <v>1938</v>
      </c>
      <c r="H104" s="2" t="s">
        <v>1948</v>
      </c>
      <c r="I104" s="2" t="s">
        <v>1958</v>
      </c>
    </row>
    <row r="105" spans="1:9" x14ac:dyDescent="0.3">
      <c r="A105" s="2" t="s">
        <v>14</v>
      </c>
      <c r="D105" s="2" t="s">
        <v>204</v>
      </c>
      <c r="F105" s="2" t="s">
        <v>199</v>
      </c>
      <c r="G105" s="2" t="s">
        <v>1939</v>
      </c>
      <c r="H105" s="2" t="s">
        <v>1949</v>
      </c>
      <c r="I105" s="2" t="s">
        <v>1959</v>
      </c>
    </row>
    <row r="106" spans="1:9" x14ac:dyDescent="0.3">
      <c r="A106" s="2" t="s">
        <v>14</v>
      </c>
      <c r="D106" s="2" t="s">
        <v>205</v>
      </c>
      <c r="F106" s="2" t="s">
        <v>201</v>
      </c>
      <c r="G106" s="2" t="s">
        <v>1940</v>
      </c>
      <c r="H106" s="2" t="s">
        <v>1950</v>
      </c>
      <c r="I106" s="2" t="s">
        <v>1960</v>
      </c>
    </row>
    <row r="107" spans="1:9" x14ac:dyDescent="0.3">
      <c r="A107" s="2" t="s">
        <v>14</v>
      </c>
      <c r="D107" s="2" t="s">
        <v>207</v>
      </c>
      <c r="F107" s="2" t="s">
        <v>203</v>
      </c>
      <c r="G107" s="2" t="s">
        <v>1941</v>
      </c>
      <c r="H107" s="2" t="s">
        <v>1951</v>
      </c>
      <c r="I107" s="2" t="s">
        <v>1961</v>
      </c>
    </row>
    <row r="108" spans="1:9" x14ac:dyDescent="0.3">
      <c r="A108" s="2" t="s">
        <v>14</v>
      </c>
      <c r="D108" s="2" t="s">
        <v>209</v>
      </c>
      <c r="F108" s="2" t="s">
        <v>206</v>
      </c>
      <c r="G108" s="2" t="s">
        <v>1942</v>
      </c>
      <c r="H108" s="2" t="s">
        <v>1952</v>
      </c>
      <c r="I108" s="2" t="s">
        <v>1962</v>
      </c>
    </row>
    <row r="109" spans="1:9" x14ac:dyDescent="0.3">
      <c r="A109" s="2" t="s">
        <v>14</v>
      </c>
      <c r="D109" s="2" t="s">
        <v>211</v>
      </c>
      <c r="F109" s="2" t="s">
        <v>2098</v>
      </c>
      <c r="G109" s="2" t="s">
        <v>1943</v>
      </c>
      <c r="H109" s="2" t="s">
        <v>1953</v>
      </c>
      <c r="I109" s="2" t="s">
        <v>1963</v>
      </c>
    </row>
    <row r="110" spans="1:9" x14ac:dyDescent="0.3">
      <c r="A110" s="2" t="s">
        <v>14</v>
      </c>
      <c r="D110" s="2" t="s">
        <v>213</v>
      </c>
      <c r="F110" s="2" t="s">
        <v>2099</v>
      </c>
      <c r="G110" s="2" t="s">
        <v>1944</v>
      </c>
      <c r="H110" s="2" t="s">
        <v>1954</v>
      </c>
      <c r="I110" s="2" t="s">
        <v>1964</v>
      </c>
    </row>
    <row r="111" spans="1:9" x14ac:dyDescent="0.3">
      <c r="A111" s="2" t="s">
        <v>14</v>
      </c>
      <c r="D111" s="2" t="s">
        <v>2100</v>
      </c>
      <c r="F111" s="2" t="s">
        <v>208</v>
      </c>
      <c r="G111" s="2" t="s">
        <v>2628</v>
      </c>
      <c r="H111" s="2" t="s">
        <v>2630</v>
      </c>
      <c r="I111" s="2" t="s">
        <v>2632</v>
      </c>
    </row>
    <row r="112" spans="1:9" x14ac:dyDescent="0.3">
      <c r="A112" s="2" t="s">
        <v>14</v>
      </c>
      <c r="D112" s="2" t="s">
        <v>2101</v>
      </c>
      <c r="F112" s="2" t="s">
        <v>2102</v>
      </c>
      <c r="G112" s="2" t="s">
        <v>2629</v>
      </c>
      <c r="H112" s="2" t="s">
        <v>2631</v>
      </c>
      <c r="I112" s="2" t="s">
        <v>2633</v>
      </c>
    </row>
    <row r="113" spans="1:9" x14ac:dyDescent="0.3">
      <c r="A113" s="2" t="s">
        <v>14</v>
      </c>
      <c r="D113" s="2" t="s">
        <v>216</v>
      </c>
      <c r="F113" s="2" t="s">
        <v>210</v>
      </c>
      <c r="G113" s="2" t="s">
        <v>1674</v>
      </c>
      <c r="H113" s="2" t="s">
        <v>1761</v>
      </c>
      <c r="I113" s="2" t="s">
        <v>1848</v>
      </c>
    </row>
    <row r="114" spans="1:9" x14ac:dyDescent="0.3">
      <c r="A114" s="2" t="s">
        <v>14</v>
      </c>
      <c r="D114" s="2" t="s">
        <v>217</v>
      </c>
      <c r="F114" s="2" t="s">
        <v>212</v>
      </c>
      <c r="G114" s="2" t="s">
        <v>1675</v>
      </c>
      <c r="H114" s="2" t="s">
        <v>1762</v>
      </c>
      <c r="I114" s="2" t="s">
        <v>1849</v>
      </c>
    </row>
    <row r="115" spans="1:9" x14ac:dyDescent="0.3">
      <c r="A115" s="2" t="s">
        <v>14</v>
      </c>
      <c r="D115" s="2" t="s">
        <v>218</v>
      </c>
      <c r="F115" s="2" t="s">
        <v>2103</v>
      </c>
      <c r="G115" s="2" t="s">
        <v>1676</v>
      </c>
      <c r="H115" s="2" t="s">
        <v>1763</v>
      </c>
      <c r="I115" s="2" t="s">
        <v>1850</v>
      </c>
    </row>
    <row r="116" spans="1:9" x14ac:dyDescent="0.3">
      <c r="A116" s="2" t="s">
        <v>14</v>
      </c>
      <c r="D116" s="2" t="s">
        <v>220</v>
      </c>
      <c r="F116" s="2" t="s">
        <v>2104</v>
      </c>
      <c r="G116" s="2" t="s">
        <v>1677</v>
      </c>
      <c r="H116" s="2" t="s">
        <v>1764</v>
      </c>
      <c r="I116" s="2" t="s">
        <v>1851</v>
      </c>
    </row>
    <row r="117" spans="1:9" x14ac:dyDescent="0.3">
      <c r="A117" s="2" t="s">
        <v>14</v>
      </c>
      <c r="D117" s="2" t="s">
        <v>222</v>
      </c>
      <c r="F117" s="2" t="s">
        <v>2105</v>
      </c>
      <c r="G117" s="2" t="s">
        <v>1678</v>
      </c>
      <c r="H117" s="2" t="s">
        <v>1765</v>
      </c>
      <c r="I117" s="2" t="s">
        <v>1852</v>
      </c>
    </row>
    <row r="118" spans="1:9" x14ac:dyDescent="0.3">
      <c r="A118" s="2" t="s">
        <v>14</v>
      </c>
      <c r="D118" s="2" t="s">
        <v>224</v>
      </c>
      <c r="F118" s="2" t="s">
        <v>214</v>
      </c>
      <c r="G118" s="2" t="s">
        <v>1679</v>
      </c>
      <c r="H118" s="2" t="s">
        <v>1766</v>
      </c>
      <c r="I118" s="2" t="s">
        <v>1853</v>
      </c>
    </row>
    <row r="119" spans="1:9" x14ac:dyDescent="0.3">
      <c r="A119" s="2" t="s">
        <v>14</v>
      </c>
      <c r="D119" s="2" t="s">
        <v>226</v>
      </c>
      <c r="F119" s="2" t="s">
        <v>2106</v>
      </c>
      <c r="G119" s="2" t="s">
        <v>1680</v>
      </c>
      <c r="H119" s="2" t="s">
        <v>1767</v>
      </c>
      <c r="I119" s="2" t="s">
        <v>1854</v>
      </c>
    </row>
    <row r="120" spans="1:9" x14ac:dyDescent="0.3">
      <c r="A120" s="2" t="s">
        <v>14</v>
      </c>
      <c r="D120" s="2" t="s">
        <v>228</v>
      </c>
      <c r="F120" s="2" t="s">
        <v>2107</v>
      </c>
      <c r="G120" s="2" t="s">
        <v>1681</v>
      </c>
      <c r="H120" s="2" t="s">
        <v>1768</v>
      </c>
      <c r="I120" s="2" t="s">
        <v>1855</v>
      </c>
    </row>
    <row r="121" spans="1:9" x14ac:dyDescent="0.3">
      <c r="A121" s="2" t="s">
        <v>14</v>
      </c>
      <c r="D121" s="2" t="s">
        <v>230</v>
      </c>
      <c r="F121" s="2" t="s">
        <v>2108</v>
      </c>
      <c r="G121" s="2" t="s">
        <v>1682</v>
      </c>
      <c r="H121" s="2" t="s">
        <v>1769</v>
      </c>
      <c r="I121" s="2" t="s">
        <v>1856</v>
      </c>
    </row>
    <row r="122" spans="1:9" x14ac:dyDescent="0.3">
      <c r="A122" s="2" t="s">
        <v>14</v>
      </c>
      <c r="D122" s="2" t="s">
        <v>232</v>
      </c>
      <c r="F122" s="2" t="s">
        <v>2109</v>
      </c>
      <c r="G122" s="2" t="s">
        <v>1683</v>
      </c>
      <c r="H122" s="2" t="s">
        <v>1770</v>
      </c>
      <c r="I122" s="2" t="s">
        <v>1857</v>
      </c>
    </row>
    <row r="123" spans="1:9" x14ac:dyDescent="0.3">
      <c r="A123" s="2" t="s">
        <v>14</v>
      </c>
      <c r="D123" s="2" t="s">
        <v>234</v>
      </c>
      <c r="F123" s="2" t="s">
        <v>2110</v>
      </c>
      <c r="G123" s="2" t="s">
        <v>1684</v>
      </c>
      <c r="H123" s="2" t="s">
        <v>1771</v>
      </c>
      <c r="I123" s="2" t="s">
        <v>1858</v>
      </c>
    </row>
    <row r="124" spans="1:9" x14ac:dyDescent="0.3">
      <c r="A124" s="2" t="s">
        <v>14</v>
      </c>
      <c r="D124" s="2" t="s">
        <v>236</v>
      </c>
      <c r="F124" s="2" t="s">
        <v>2111</v>
      </c>
      <c r="G124" s="2" t="s">
        <v>1685</v>
      </c>
      <c r="H124" s="2" t="s">
        <v>1772</v>
      </c>
      <c r="I124" s="2" t="s">
        <v>1859</v>
      </c>
    </row>
    <row r="125" spans="1:9" x14ac:dyDescent="0.3">
      <c r="A125" s="2" t="s">
        <v>14</v>
      </c>
      <c r="D125" s="2" t="s">
        <v>238</v>
      </c>
      <c r="F125" s="2" t="s">
        <v>2112</v>
      </c>
      <c r="G125" s="2" t="s">
        <v>1686</v>
      </c>
      <c r="H125" s="2" t="s">
        <v>1773</v>
      </c>
      <c r="I125" s="2" t="s">
        <v>1860</v>
      </c>
    </row>
    <row r="126" spans="1:9" x14ac:dyDescent="0.3">
      <c r="A126" s="2" t="s">
        <v>14</v>
      </c>
      <c r="D126" s="2" t="s">
        <v>240</v>
      </c>
      <c r="F126" s="2" t="s">
        <v>2113</v>
      </c>
      <c r="G126" s="2" t="s">
        <v>1687</v>
      </c>
      <c r="H126" s="2" t="s">
        <v>1774</v>
      </c>
      <c r="I126" s="2" t="s">
        <v>1861</v>
      </c>
    </row>
    <row r="127" spans="1:9" x14ac:dyDescent="0.3">
      <c r="A127" s="2" t="s">
        <v>14</v>
      </c>
      <c r="D127" s="2" t="s">
        <v>242</v>
      </c>
      <c r="F127" s="2" t="s">
        <v>2114</v>
      </c>
      <c r="G127" s="2" t="s">
        <v>1688</v>
      </c>
      <c r="H127" s="2" t="s">
        <v>1775</v>
      </c>
      <c r="I127" s="2" t="s">
        <v>1862</v>
      </c>
    </row>
    <row r="128" spans="1:9" x14ac:dyDescent="0.3">
      <c r="A128" s="2" t="s">
        <v>14</v>
      </c>
      <c r="D128" s="2" t="s">
        <v>2640</v>
      </c>
      <c r="F128" s="2" t="s">
        <v>2641</v>
      </c>
      <c r="G128" s="2" t="s">
        <v>2770</v>
      </c>
      <c r="H128" s="2" t="s">
        <v>2772</v>
      </c>
      <c r="I128" s="2" t="s">
        <v>2774</v>
      </c>
    </row>
    <row r="129" spans="1:9" x14ac:dyDescent="0.3">
      <c r="A129" s="2" t="s">
        <v>14</v>
      </c>
      <c r="D129" s="2" t="s">
        <v>2642</v>
      </c>
      <c r="F129" s="2" t="s">
        <v>2643</v>
      </c>
      <c r="G129" s="2" t="s">
        <v>2771</v>
      </c>
      <c r="H129" s="2" t="s">
        <v>2773</v>
      </c>
      <c r="I129" s="2" t="s">
        <v>2775</v>
      </c>
    </row>
    <row r="130" spans="1:9" x14ac:dyDescent="0.3">
      <c r="A130" s="2" t="s">
        <v>14</v>
      </c>
      <c r="D130" s="2" t="s">
        <v>246</v>
      </c>
      <c r="F130" s="2" t="s">
        <v>2644</v>
      </c>
      <c r="G130" s="2" t="s">
        <v>1689</v>
      </c>
      <c r="H130" s="2" t="s">
        <v>1776</v>
      </c>
      <c r="I130" s="2" t="s">
        <v>1863</v>
      </c>
    </row>
    <row r="131" spans="1:9" x14ac:dyDescent="0.3">
      <c r="A131" s="2" t="s">
        <v>14</v>
      </c>
      <c r="D131" s="2" t="s">
        <v>200</v>
      </c>
    </row>
    <row r="132" spans="1:9" x14ac:dyDescent="0.3">
      <c r="A132" s="2" t="s">
        <v>14</v>
      </c>
      <c r="D132" s="2" t="s">
        <v>2645</v>
      </c>
      <c r="E132" s="2" t="s">
        <v>215</v>
      </c>
      <c r="G132" s="2" t="s">
        <v>3</v>
      </c>
      <c r="H132" s="2" t="s">
        <v>4</v>
      </c>
      <c r="I132" s="2" t="s">
        <v>5</v>
      </c>
    </row>
    <row r="133" spans="1:9" x14ac:dyDescent="0.3">
      <c r="A133" s="2" t="s">
        <v>14</v>
      </c>
      <c r="D133" s="2" t="s">
        <v>250</v>
      </c>
      <c r="F133" s="2" t="s">
        <v>2646</v>
      </c>
      <c r="G133" s="2" t="s">
        <v>1690</v>
      </c>
      <c r="H133" s="2" t="s">
        <v>1777</v>
      </c>
      <c r="I133" s="2" t="s">
        <v>1864</v>
      </c>
    </row>
    <row r="134" spans="1:9" x14ac:dyDescent="0.3">
      <c r="A134" s="2" t="s">
        <v>14</v>
      </c>
      <c r="D134" s="2" t="s">
        <v>252</v>
      </c>
      <c r="F134" s="2" t="s">
        <v>219</v>
      </c>
      <c r="G134" s="2" t="s">
        <v>1691</v>
      </c>
      <c r="H134" s="2" t="s">
        <v>1778</v>
      </c>
      <c r="I134" s="2" t="s">
        <v>1865</v>
      </c>
    </row>
    <row r="135" spans="1:9" x14ac:dyDescent="0.3">
      <c r="A135" s="2" t="s">
        <v>14</v>
      </c>
      <c r="D135" s="2" t="s">
        <v>254</v>
      </c>
      <c r="F135" s="2" t="s">
        <v>221</v>
      </c>
      <c r="G135" s="2" t="s">
        <v>1692</v>
      </c>
      <c r="H135" s="2" t="s">
        <v>1779</v>
      </c>
      <c r="I135" s="2" t="s">
        <v>1866</v>
      </c>
    </row>
    <row r="136" spans="1:9" x14ac:dyDescent="0.3">
      <c r="A136" s="2" t="s">
        <v>14</v>
      </c>
      <c r="D136" s="2" t="s">
        <v>256</v>
      </c>
      <c r="F136" s="2" t="s">
        <v>223</v>
      </c>
      <c r="G136" s="2" t="s">
        <v>1693</v>
      </c>
      <c r="H136" s="2" t="s">
        <v>1780</v>
      </c>
      <c r="I136" s="2" t="s">
        <v>1867</v>
      </c>
    </row>
    <row r="137" spans="1:9" x14ac:dyDescent="0.3">
      <c r="A137" s="2" t="s">
        <v>14</v>
      </c>
      <c r="D137" s="2" t="s">
        <v>258</v>
      </c>
      <c r="F137" s="2" t="s">
        <v>225</v>
      </c>
      <c r="G137" s="2" t="s">
        <v>1694</v>
      </c>
      <c r="H137" s="2" t="s">
        <v>1781</v>
      </c>
      <c r="I137" s="2" t="s">
        <v>1868</v>
      </c>
    </row>
    <row r="138" spans="1:9" x14ac:dyDescent="0.3">
      <c r="A138" s="2" t="s">
        <v>14</v>
      </c>
      <c r="D138" s="2" t="s">
        <v>260</v>
      </c>
      <c r="F138" s="2" t="s">
        <v>227</v>
      </c>
      <c r="G138" s="2" t="s">
        <v>1695</v>
      </c>
      <c r="H138" s="2" t="s">
        <v>1782</v>
      </c>
      <c r="I138" s="2" t="s">
        <v>1869</v>
      </c>
    </row>
    <row r="139" spans="1:9" x14ac:dyDescent="0.3">
      <c r="A139" s="2" t="s">
        <v>14</v>
      </c>
      <c r="D139" s="2" t="s">
        <v>262</v>
      </c>
      <c r="F139" s="2" t="s">
        <v>229</v>
      </c>
      <c r="G139" s="2" t="s">
        <v>1696</v>
      </c>
      <c r="H139" s="2" t="s">
        <v>1783</v>
      </c>
      <c r="I139" s="2" t="s">
        <v>1870</v>
      </c>
    </row>
    <row r="140" spans="1:9" x14ac:dyDescent="0.3">
      <c r="A140" s="2" t="s">
        <v>14</v>
      </c>
      <c r="D140" s="2" t="s">
        <v>264</v>
      </c>
      <c r="F140" s="2" t="s">
        <v>231</v>
      </c>
      <c r="G140" s="2" t="s">
        <v>1697</v>
      </c>
      <c r="H140" s="2" t="s">
        <v>1784</v>
      </c>
      <c r="I140" s="2" t="s">
        <v>1871</v>
      </c>
    </row>
    <row r="141" spans="1:9" x14ac:dyDescent="0.3">
      <c r="A141" s="2" t="s">
        <v>14</v>
      </c>
      <c r="D141" s="2" t="s">
        <v>266</v>
      </c>
      <c r="F141" s="2" t="s">
        <v>233</v>
      </c>
      <c r="G141" s="2" t="s">
        <v>1698</v>
      </c>
      <c r="H141" s="2" t="s">
        <v>1785</v>
      </c>
      <c r="I141" s="2" t="s">
        <v>1872</v>
      </c>
    </row>
    <row r="142" spans="1:9" x14ac:dyDescent="0.3">
      <c r="A142" s="2" t="s">
        <v>14</v>
      </c>
      <c r="D142" s="2" t="s">
        <v>268</v>
      </c>
      <c r="F142" s="2" t="s">
        <v>235</v>
      </c>
      <c r="G142" s="2" t="s">
        <v>1699</v>
      </c>
      <c r="H142" s="2" t="s">
        <v>1786</v>
      </c>
      <c r="I142" s="2" t="s">
        <v>1873</v>
      </c>
    </row>
    <row r="143" spans="1:9" x14ac:dyDescent="0.3">
      <c r="A143" s="2" t="s">
        <v>14</v>
      </c>
      <c r="D143" s="2" t="s">
        <v>270</v>
      </c>
      <c r="F143" s="2" t="s">
        <v>237</v>
      </c>
      <c r="G143" s="2" t="s">
        <v>1700</v>
      </c>
      <c r="H143" s="2" t="s">
        <v>1787</v>
      </c>
      <c r="I143" s="2" t="s">
        <v>1874</v>
      </c>
    </row>
    <row r="144" spans="1:9" x14ac:dyDescent="0.3">
      <c r="A144" s="2" t="s">
        <v>14</v>
      </c>
      <c r="D144" s="2" t="s">
        <v>272</v>
      </c>
      <c r="F144" s="2" t="s">
        <v>239</v>
      </c>
      <c r="G144" s="2" t="s">
        <v>1701</v>
      </c>
      <c r="H144" s="2" t="s">
        <v>1788</v>
      </c>
      <c r="I144" s="2" t="s">
        <v>1875</v>
      </c>
    </row>
    <row r="145" spans="1:9" x14ac:dyDescent="0.3">
      <c r="A145" s="2" t="s">
        <v>14</v>
      </c>
      <c r="D145" s="2" t="s">
        <v>274</v>
      </c>
      <c r="F145" s="2" t="s">
        <v>241</v>
      </c>
      <c r="G145" s="2" t="s">
        <v>1702</v>
      </c>
      <c r="H145" s="2" t="s">
        <v>1789</v>
      </c>
      <c r="I145" s="2" t="s">
        <v>1876</v>
      </c>
    </row>
    <row r="146" spans="1:9" x14ac:dyDescent="0.3">
      <c r="A146" s="2" t="s">
        <v>14</v>
      </c>
      <c r="D146" s="2" t="s">
        <v>276</v>
      </c>
      <c r="F146" s="2" t="s">
        <v>243</v>
      </c>
      <c r="G146" s="2" t="s">
        <v>1703</v>
      </c>
      <c r="H146" s="2" t="s">
        <v>1790</v>
      </c>
      <c r="I146" s="2" t="s">
        <v>1877</v>
      </c>
    </row>
    <row r="147" spans="1:9" x14ac:dyDescent="0.3">
      <c r="A147" s="2" t="s">
        <v>14</v>
      </c>
      <c r="D147" s="2" t="s">
        <v>278</v>
      </c>
      <c r="F147" s="2" t="s">
        <v>244</v>
      </c>
      <c r="G147" s="2" t="s">
        <v>1704</v>
      </c>
      <c r="H147" s="2" t="s">
        <v>1791</v>
      </c>
      <c r="I147" s="2" t="s">
        <v>1878</v>
      </c>
    </row>
    <row r="148" spans="1:9" x14ac:dyDescent="0.3">
      <c r="A148" s="2" t="s">
        <v>14</v>
      </c>
      <c r="D148" s="2" t="s">
        <v>280</v>
      </c>
      <c r="F148" s="2" t="s">
        <v>245</v>
      </c>
      <c r="G148" s="2" t="s">
        <v>1705</v>
      </c>
      <c r="H148" s="2" t="s">
        <v>1792</v>
      </c>
      <c r="I148" s="2" t="s">
        <v>1879</v>
      </c>
    </row>
    <row r="149" spans="1:9" x14ac:dyDescent="0.3">
      <c r="A149" s="2" t="s">
        <v>14</v>
      </c>
      <c r="D149" s="2" t="s">
        <v>282</v>
      </c>
      <c r="F149" s="2" t="s">
        <v>247</v>
      </c>
      <c r="G149" s="2" t="s">
        <v>1706</v>
      </c>
      <c r="H149" s="2" t="s">
        <v>1793</v>
      </c>
      <c r="I149" s="2" t="s">
        <v>1880</v>
      </c>
    </row>
    <row r="150" spans="1:9" x14ac:dyDescent="0.3">
      <c r="A150" s="2" t="s">
        <v>14</v>
      </c>
      <c r="D150" s="2" t="s">
        <v>284</v>
      </c>
      <c r="F150" s="2" t="s">
        <v>248</v>
      </c>
      <c r="G150" s="2" t="s">
        <v>1707</v>
      </c>
      <c r="H150" s="2" t="s">
        <v>1794</v>
      </c>
      <c r="I150" s="2" t="s">
        <v>1881</v>
      </c>
    </row>
    <row r="151" spans="1:9" x14ac:dyDescent="0.3">
      <c r="A151" s="2" t="s">
        <v>14</v>
      </c>
      <c r="D151" s="2" t="s">
        <v>286</v>
      </c>
      <c r="F151" s="2" t="s">
        <v>249</v>
      </c>
      <c r="G151" s="2" t="s">
        <v>1708</v>
      </c>
      <c r="H151" s="2" t="s">
        <v>1795</v>
      </c>
      <c r="I151" s="2" t="s">
        <v>1882</v>
      </c>
    </row>
    <row r="152" spans="1:9" x14ac:dyDescent="0.3">
      <c r="A152" s="2" t="s">
        <v>14</v>
      </c>
      <c r="D152" s="2" t="s">
        <v>288</v>
      </c>
      <c r="F152" s="2" t="s">
        <v>251</v>
      </c>
      <c r="G152" s="2" t="s">
        <v>1709</v>
      </c>
      <c r="H152" s="2" t="s">
        <v>1796</v>
      </c>
      <c r="I152" s="2" t="s">
        <v>1883</v>
      </c>
    </row>
    <row r="153" spans="1:9" x14ac:dyDescent="0.3">
      <c r="A153" s="2" t="s">
        <v>14</v>
      </c>
      <c r="D153" s="2" t="s">
        <v>290</v>
      </c>
      <c r="F153" s="2" t="s">
        <v>253</v>
      </c>
      <c r="G153" s="2" t="s">
        <v>1710</v>
      </c>
      <c r="H153" s="2" t="s">
        <v>1797</v>
      </c>
      <c r="I153" s="2" t="s">
        <v>1884</v>
      </c>
    </row>
    <row r="154" spans="1:9" x14ac:dyDescent="0.3">
      <c r="A154" s="2" t="s">
        <v>14</v>
      </c>
      <c r="D154" s="2" t="s">
        <v>292</v>
      </c>
      <c r="F154" s="2" t="s">
        <v>255</v>
      </c>
      <c r="G154" s="2" t="s">
        <v>1711</v>
      </c>
      <c r="H154" s="2" t="s">
        <v>1798</v>
      </c>
      <c r="I154" s="2" t="s">
        <v>1885</v>
      </c>
    </row>
    <row r="155" spans="1:9" x14ac:dyDescent="0.3">
      <c r="A155" s="2" t="s">
        <v>14</v>
      </c>
      <c r="D155" s="2" t="s">
        <v>294</v>
      </c>
      <c r="F155" s="2" t="s">
        <v>257</v>
      </c>
      <c r="G155" s="2" t="s">
        <v>1712</v>
      </c>
      <c r="H155" s="2" t="s">
        <v>1799</v>
      </c>
      <c r="I155" s="2" t="s">
        <v>1886</v>
      </c>
    </row>
    <row r="156" spans="1:9" x14ac:dyDescent="0.3">
      <c r="A156" s="2" t="s">
        <v>14</v>
      </c>
      <c r="D156" s="2" t="s">
        <v>296</v>
      </c>
      <c r="F156" s="2" t="s">
        <v>259</v>
      </c>
      <c r="G156" s="2" t="s">
        <v>1713</v>
      </c>
      <c r="H156" s="2" t="s">
        <v>1800</v>
      </c>
      <c r="I156" s="2" t="s">
        <v>1887</v>
      </c>
    </row>
    <row r="157" spans="1:9" x14ac:dyDescent="0.3">
      <c r="A157" s="2" t="s">
        <v>14</v>
      </c>
      <c r="D157" s="2" t="s">
        <v>298</v>
      </c>
      <c r="F157" s="2" t="s">
        <v>261</v>
      </c>
      <c r="G157" s="2" t="s">
        <v>1714</v>
      </c>
      <c r="H157" s="2" t="s">
        <v>1801</v>
      </c>
      <c r="I157" s="2" t="s">
        <v>1888</v>
      </c>
    </row>
    <row r="158" spans="1:9" x14ac:dyDescent="0.3">
      <c r="A158" s="2" t="s">
        <v>14</v>
      </c>
      <c r="D158" s="2" t="s">
        <v>300</v>
      </c>
      <c r="F158" s="2" t="s">
        <v>263</v>
      </c>
      <c r="G158" s="2" t="s">
        <v>1715</v>
      </c>
      <c r="H158" s="2" t="s">
        <v>1802</v>
      </c>
      <c r="I158" s="2" t="s">
        <v>1889</v>
      </c>
    </row>
    <row r="159" spans="1:9" x14ac:dyDescent="0.3">
      <c r="A159" s="2" t="s">
        <v>14</v>
      </c>
      <c r="D159" s="2" t="s">
        <v>302</v>
      </c>
      <c r="F159" s="2" t="s">
        <v>265</v>
      </c>
      <c r="G159" s="2" t="s">
        <v>1716</v>
      </c>
      <c r="H159" s="2" t="s">
        <v>1803</v>
      </c>
      <c r="I159" s="2" t="s">
        <v>1890</v>
      </c>
    </row>
    <row r="160" spans="1:9" x14ac:dyDescent="0.3">
      <c r="A160" s="2" t="s">
        <v>14</v>
      </c>
      <c r="D160" s="2" t="s">
        <v>304</v>
      </c>
      <c r="F160" s="2" t="s">
        <v>267</v>
      </c>
      <c r="G160" s="2" t="s">
        <v>1717</v>
      </c>
      <c r="H160" s="2" t="s">
        <v>1804</v>
      </c>
      <c r="I160" s="2" t="s">
        <v>1891</v>
      </c>
    </row>
    <row r="161" spans="1:9" x14ac:dyDescent="0.3">
      <c r="A161" s="2" t="s">
        <v>14</v>
      </c>
      <c r="D161" s="2" t="s">
        <v>306</v>
      </c>
      <c r="F161" s="2" t="s">
        <v>269</v>
      </c>
      <c r="G161" s="2" t="s">
        <v>1718</v>
      </c>
      <c r="H161" s="2" t="s">
        <v>1805</v>
      </c>
      <c r="I161" s="2" t="s">
        <v>1892</v>
      </c>
    </row>
    <row r="162" spans="1:9" x14ac:dyDescent="0.3">
      <c r="A162" s="2" t="s">
        <v>14</v>
      </c>
      <c r="D162" s="2" t="s">
        <v>307</v>
      </c>
      <c r="F162" s="2" t="s">
        <v>271</v>
      </c>
      <c r="G162" s="2" t="s">
        <v>1719</v>
      </c>
      <c r="H162" s="2" t="s">
        <v>1806</v>
      </c>
      <c r="I162" s="2" t="s">
        <v>1893</v>
      </c>
    </row>
    <row r="163" spans="1:9" x14ac:dyDescent="0.3">
      <c r="A163" s="2" t="s">
        <v>14</v>
      </c>
      <c r="D163" s="2" t="s">
        <v>309</v>
      </c>
      <c r="F163" s="2" t="s">
        <v>273</v>
      </c>
      <c r="G163" s="2" t="s">
        <v>1720</v>
      </c>
      <c r="H163" s="2" t="s">
        <v>1807</v>
      </c>
      <c r="I163" s="2" t="s">
        <v>1894</v>
      </c>
    </row>
    <row r="164" spans="1:9" x14ac:dyDescent="0.3">
      <c r="A164" s="2" t="s">
        <v>14</v>
      </c>
      <c r="D164" s="2" t="s">
        <v>311</v>
      </c>
      <c r="F164" s="2" t="s">
        <v>275</v>
      </c>
      <c r="G164" s="2" t="s">
        <v>1721</v>
      </c>
      <c r="H164" s="2" t="s">
        <v>1808</v>
      </c>
      <c r="I164" s="2" t="s">
        <v>1895</v>
      </c>
    </row>
    <row r="165" spans="1:9" x14ac:dyDescent="0.3">
      <c r="A165" s="2" t="s">
        <v>14</v>
      </c>
      <c r="D165" s="2" t="s">
        <v>313</v>
      </c>
      <c r="F165" s="2" t="s">
        <v>277</v>
      </c>
      <c r="G165" s="2" t="s">
        <v>1722</v>
      </c>
      <c r="H165" s="2" t="s">
        <v>1809</v>
      </c>
      <c r="I165" s="2" t="s">
        <v>1896</v>
      </c>
    </row>
    <row r="166" spans="1:9" x14ac:dyDescent="0.3">
      <c r="A166" s="2" t="s">
        <v>14</v>
      </c>
      <c r="D166" s="2" t="s">
        <v>315</v>
      </c>
      <c r="F166" s="2" t="s">
        <v>279</v>
      </c>
      <c r="G166" s="2" t="s">
        <v>1723</v>
      </c>
      <c r="H166" s="2" t="s">
        <v>1810</v>
      </c>
      <c r="I166" s="2" t="s">
        <v>1897</v>
      </c>
    </row>
    <row r="167" spans="1:9" x14ac:dyDescent="0.3">
      <c r="A167" s="2" t="s">
        <v>14</v>
      </c>
      <c r="D167" s="2" t="s">
        <v>317</v>
      </c>
      <c r="F167" s="2" t="s">
        <v>2115</v>
      </c>
      <c r="G167" s="2" t="s">
        <v>1724</v>
      </c>
      <c r="H167" s="2" t="s">
        <v>1811</v>
      </c>
      <c r="I167" s="2" t="s">
        <v>1898</v>
      </c>
    </row>
    <row r="168" spans="1:9" x14ac:dyDescent="0.3">
      <c r="A168" s="2" t="s">
        <v>14</v>
      </c>
      <c r="D168" s="2" t="s">
        <v>319</v>
      </c>
      <c r="F168" s="2" t="s">
        <v>281</v>
      </c>
      <c r="G168" s="2" t="s">
        <v>1725</v>
      </c>
      <c r="H168" s="2" t="s">
        <v>1812</v>
      </c>
      <c r="I168" s="2" t="s">
        <v>1899</v>
      </c>
    </row>
    <row r="169" spans="1:9" x14ac:dyDescent="0.3">
      <c r="A169" s="2" t="s">
        <v>14</v>
      </c>
      <c r="D169" s="2" t="s">
        <v>321</v>
      </c>
      <c r="F169" s="2" t="s">
        <v>283</v>
      </c>
      <c r="G169" s="2" t="s">
        <v>1726</v>
      </c>
      <c r="H169" s="2" t="s">
        <v>1813</v>
      </c>
      <c r="I169" s="2" t="s">
        <v>1900</v>
      </c>
    </row>
    <row r="170" spans="1:9" x14ac:dyDescent="0.3">
      <c r="A170" s="2" t="s">
        <v>14</v>
      </c>
      <c r="D170" s="2" t="s">
        <v>323</v>
      </c>
      <c r="F170" s="2" t="s">
        <v>287</v>
      </c>
      <c r="G170" s="2" t="s">
        <v>1727</v>
      </c>
      <c r="H170" s="2" t="s">
        <v>1814</v>
      </c>
      <c r="I170" s="2" t="s">
        <v>1901</v>
      </c>
    </row>
    <row r="171" spans="1:9" x14ac:dyDescent="0.3">
      <c r="A171" s="2" t="s">
        <v>14</v>
      </c>
      <c r="D171" s="2" t="s">
        <v>325</v>
      </c>
      <c r="F171" s="2" t="s">
        <v>289</v>
      </c>
      <c r="G171" s="2" t="s">
        <v>1728</v>
      </c>
      <c r="H171" s="2" t="s">
        <v>1815</v>
      </c>
      <c r="I171" s="2" t="s">
        <v>1902</v>
      </c>
    </row>
    <row r="172" spans="1:9" x14ac:dyDescent="0.3">
      <c r="A172" s="2" t="s">
        <v>14</v>
      </c>
      <c r="D172" s="2" t="s">
        <v>327</v>
      </c>
      <c r="F172" s="2" t="s">
        <v>291</v>
      </c>
      <c r="G172" s="2" t="s">
        <v>1729</v>
      </c>
      <c r="H172" s="2" t="s">
        <v>1816</v>
      </c>
      <c r="I172" s="2" t="s">
        <v>1903</v>
      </c>
    </row>
    <row r="173" spans="1:9" x14ac:dyDescent="0.3">
      <c r="A173" s="2" t="s">
        <v>14</v>
      </c>
      <c r="D173" s="2" t="s">
        <v>329</v>
      </c>
      <c r="F173" s="2" t="s">
        <v>293</v>
      </c>
      <c r="G173" s="2" t="s">
        <v>1730</v>
      </c>
      <c r="H173" s="2" t="s">
        <v>1817</v>
      </c>
      <c r="I173" s="2" t="s">
        <v>1904</v>
      </c>
    </row>
    <row r="174" spans="1:9" x14ac:dyDescent="0.3">
      <c r="A174" s="2" t="s">
        <v>14</v>
      </c>
      <c r="D174" s="2" t="s">
        <v>331</v>
      </c>
      <c r="F174" s="2" t="s">
        <v>295</v>
      </c>
      <c r="G174" s="2" t="s">
        <v>1731</v>
      </c>
      <c r="H174" s="2" t="s">
        <v>1818</v>
      </c>
      <c r="I174" s="2" t="s">
        <v>1905</v>
      </c>
    </row>
    <row r="175" spans="1:9" x14ac:dyDescent="0.3">
      <c r="A175" s="2" t="s">
        <v>14</v>
      </c>
      <c r="D175" s="2" t="s">
        <v>333</v>
      </c>
      <c r="F175" s="2" t="s">
        <v>297</v>
      </c>
      <c r="G175" s="2" t="s">
        <v>1732</v>
      </c>
      <c r="H175" s="2" t="s">
        <v>1819</v>
      </c>
      <c r="I175" s="2" t="s">
        <v>1906</v>
      </c>
    </row>
    <row r="176" spans="1:9" x14ac:dyDescent="0.3">
      <c r="A176" s="2" t="s">
        <v>14</v>
      </c>
      <c r="D176" s="2" t="s">
        <v>335</v>
      </c>
      <c r="F176" s="2" t="s">
        <v>299</v>
      </c>
      <c r="G176" s="2" t="s">
        <v>1733</v>
      </c>
      <c r="H176" s="2" t="s">
        <v>1820</v>
      </c>
      <c r="I176" s="2" t="s">
        <v>1907</v>
      </c>
    </row>
    <row r="177" spans="1:9" x14ac:dyDescent="0.3">
      <c r="A177" s="2" t="s">
        <v>14</v>
      </c>
      <c r="D177" s="2" t="s">
        <v>337</v>
      </c>
      <c r="F177" s="2" t="s">
        <v>305</v>
      </c>
      <c r="G177" s="2" t="s">
        <v>1734</v>
      </c>
      <c r="H177" s="2" t="s">
        <v>1821</v>
      </c>
      <c r="I177" s="2" t="s">
        <v>1908</v>
      </c>
    </row>
    <row r="178" spans="1:9" x14ac:dyDescent="0.3">
      <c r="A178" s="2" t="s">
        <v>14</v>
      </c>
      <c r="D178" s="2" t="s">
        <v>339</v>
      </c>
      <c r="F178" s="2" t="s">
        <v>310</v>
      </c>
      <c r="G178" s="2" t="s">
        <v>1735</v>
      </c>
      <c r="H178" s="2" t="s">
        <v>1822</v>
      </c>
      <c r="I178" s="2" t="s">
        <v>1909</v>
      </c>
    </row>
    <row r="179" spans="1:9" x14ac:dyDescent="0.3">
      <c r="A179" s="2" t="s">
        <v>14</v>
      </c>
      <c r="D179" s="2" t="s">
        <v>341</v>
      </c>
      <c r="F179" s="2" t="s">
        <v>312</v>
      </c>
      <c r="G179" s="2" t="s">
        <v>1736</v>
      </c>
      <c r="H179" s="2" t="s">
        <v>1823</v>
      </c>
      <c r="I179" s="2" t="s">
        <v>1910</v>
      </c>
    </row>
    <row r="180" spans="1:9" x14ac:dyDescent="0.3">
      <c r="A180" s="2" t="s">
        <v>14</v>
      </c>
      <c r="D180" s="2" t="s">
        <v>343</v>
      </c>
      <c r="F180" s="2" t="s">
        <v>2116</v>
      </c>
      <c r="G180" s="2" t="s">
        <v>1737</v>
      </c>
      <c r="H180" s="2" t="s">
        <v>1824</v>
      </c>
      <c r="I180" s="2" t="s">
        <v>1911</v>
      </c>
    </row>
    <row r="181" spans="1:9" x14ac:dyDescent="0.3">
      <c r="A181" s="2" t="s">
        <v>14</v>
      </c>
      <c r="D181" s="2" t="s">
        <v>345</v>
      </c>
      <c r="F181" s="2" t="s">
        <v>285</v>
      </c>
      <c r="G181" s="2" t="s">
        <v>1738</v>
      </c>
      <c r="H181" s="2" t="s">
        <v>1825</v>
      </c>
      <c r="I181" s="2" t="s">
        <v>1912</v>
      </c>
    </row>
    <row r="182" spans="1:9" x14ac:dyDescent="0.3">
      <c r="A182" s="2" t="s">
        <v>14</v>
      </c>
      <c r="D182" s="2" t="s">
        <v>347</v>
      </c>
      <c r="F182" s="2" t="s">
        <v>316</v>
      </c>
      <c r="G182" s="2" t="s">
        <v>1739</v>
      </c>
      <c r="H182" s="2" t="s">
        <v>1826</v>
      </c>
      <c r="I182" s="2" t="s">
        <v>1913</v>
      </c>
    </row>
    <row r="183" spans="1:9" x14ac:dyDescent="0.3">
      <c r="A183" s="2" t="s">
        <v>14</v>
      </c>
      <c r="D183" s="2" t="s">
        <v>349</v>
      </c>
      <c r="F183" s="2" t="s">
        <v>318</v>
      </c>
      <c r="G183" s="2" t="s">
        <v>1740</v>
      </c>
      <c r="H183" s="2" t="s">
        <v>1827</v>
      </c>
      <c r="I183" s="2" t="s">
        <v>1914</v>
      </c>
    </row>
    <row r="184" spans="1:9" x14ac:dyDescent="0.3">
      <c r="A184" s="2" t="s">
        <v>14</v>
      </c>
      <c r="D184" s="2" t="s">
        <v>351</v>
      </c>
      <c r="F184" s="2" t="s">
        <v>320</v>
      </c>
      <c r="G184" s="2" t="s">
        <v>1741</v>
      </c>
      <c r="H184" s="2" t="s">
        <v>1828</v>
      </c>
      <c r="I184" s="2" t="s">
        <v>1915</v>
      </c>
    </row>
    <row r="185" spans="1:9" x14ac:dyDescent="0.3">
      <c r="A185" s="2" t="s">
        <v>14</v>
      </c>
      <c r="D185" s="2" t="s">
        <v>353</v>
      </c>
      <c r="F185" s="2" t="s">
        <v>322</v>
      </c>
      <c r="G185" s="2" t="s">
        <v>1742</v>
      </c>
      <c r="H185" s="2" t="s">
        <v>1829</v>
      </c>
      <c r="I185" s="2" t="s">
        <v>1916</v>
      </c>
    </row>
    <row r="186" spans="1:9" x14ac:dyDescent="0.3">
      <c r="A186" s="2" t="s">
        <v>14</v>
      </c>
      <c r="D186" s="2" t="s">
        <v>355</v>
      </c>
      <c r="F186" s="2" t="s">
        <v>2117</v>
      </c>
      <c r="G186" s="2" t="s">
        <v>1743</v>
      </c>
      <c r="H186" s="2" t="s">
        <v>1830</v>
      </c>
      <c r="I186" s="2" t="s">
        <v>1917</v>
      </c>
    </row>
    <row r="187" spans="1:9" x14ac:dyDescent="0.3">
      <c r="A187" s="2" t="s">
        <v>14</v>
      </c>
      <c r="D187" s="2" t="s">
        <v>357</v>
      </c>
      <c r="F187" s="2" t="s">
        <v>330</v>
      </c>
      <c r="G187" s="2" t="s">
        <v>1744</v>
      </c>
      <c r="H187" s="2" t="s">
        <v>1831</v>
      </c>
      <c r="I187" s="2" t="s">
        <v>1918</v>
      </c>
    </row>
    <row r="188" spans="1:9" x14ac:dyDescent="0.3">
      <c r="A188" s="2" t="s">
        <v>14</v>
      </c>
      <c r="D188" s="2" t="s">
        <v>359</v>
      </c>
      <c r="F188" s="2" t="s">
        <v>2118</v>
      </c>
      <c r="G188" s="2" t="s">
        <v>1745</v>
      </c>
      <c r="H188" s="2" t="s">
        <v>1832</v>
      </c>
      <c r="I188" s="2" t="s">
        <v>1919</v>
      </c>
    </row>
    <row r="189" spans="1:9" x14ac:dyDescent="0.3">
      <c r="A189" s="2" t="s">
        <v>14</v>
      </c>
      <c r="D189" s="2" t="s">
        <v>361</v>
      </c>
      <c r="F189" s="2" t="s">
        <v>2119</v>
      </c>
      <c r="G189" s="2" t="s">
        <v>1746</v>
      </c>
      <c r="H189" s="2" t="s">
        <v>1833</v>
      </c>
      <c r="I189" s="2" t="s">
        <v>1920</v>
      </c>
    </row>
    <row r="190" spans="1:9" x14ac:dyDescent="0.3">
      <c r="A190" s="2" t="s">
        <v>14</v>
      </c>
      <c r="D190" s="2" t="s">
        <v>363</v>
      </c>
      <c r="F190" s="2" t="s">
        <v>342</v>
      </c>
      <c r="G190" s="2" t="s">
        <v>1747</v>
      </c>
      <c r="H190" s="2" t="s">
        <v>1834</v>
      </c>
      <c r="I190" s="2" t="s">
        <v>1921</v>
      </c>
    </row>
    <row r="191" spans="1:9" x14ac:dyDescent="0.3">
      <c r="A191" s="2" t="s">
        <v>14</v>
      </c>
      <c r="D191" s="2" t="s">
        <v>365</v>
      </c>
      <c r="F191" s="2" t="s">
        <v>344</v>
      </c>
      <c r="G191" s="2" t="s">
        <v>1748</v>
      </c>
      <c r="H191" s="2" t="s">
        <v>1835</v>
      </c>
      <c r="I191" s="2" t="s">
        <v>1922</v>
      </c>
    </row>
    <row r="192" spans="1:9" x14ac:dyDescent="0.3">
      <c r="A192" s="2" t="s">
        <v>14</v>
      </c>
      <c r="D192" s="2" t="s">
        <v>367</v>
      </c>
      <c r="F192" s="2" t="s">
        <v>2120</v>
      </c>
      <c r="G192" s="2" t="s">
        <v>1749</v>
      </c>
      <c r="H192" s="2" t="s">
        <v>1836</v>
      </c>
      <c r="I192" s="2" t="s">
        <v>1923</v>
      </c>
    </row>
    <row r="193" spans="1:9" x14ac:dyDescent="0.3">
      <c r="A193" s="2" t="s">
        <v>14</v>
      </c>
      <c r="D193" s="2" t="s">
        <v>369</v>
      </c>
      <c r="F193" s="2" t="s">
        <v>2121</v>
      </c>
      <c r="G193" s="2" t="s">
        <v>1750</v>
      </c>
      <c r="H193" s="2" t="s">
        <v>1837</v>
      </c>
      <c r="I193" s="2" t="s">
        <v>1924</v>
      </c>
    </row>
    <row r="194" spans="1:9" x14ac:dyDescent="0.3">
      <c r="A194" s="2" t="s">
        <v>14</v>
      </c>
      <c r="D194" s="2" t="s">
        <v>371</v>
      </c>
      <c r="F194" s="2" t="s">
        <v>2122</v>
      </c>
      <c r="G194" s="2" t="s">
        <v>1751</v>
      </c>
      <c r="H194" s="2" t="s">
        <v>1838</v>
      </c>
      <c r="I194" s="2" t="s">
        <v>1925</v>
      </c>
    </row>
    <row r="195" spans="1:9" x14ac:dyDescent="0.3">
      <c r="A195" s="2" t="s">
        <v>14</v>
      </c>
      <c r="D195" s="2" t="s">
        <v>373</v>
      </c>
      <c r="F195" s="2" t="s">
        <v>301</v>
      </c>
      <c r="G195" s="2" t="s">
        <v>1752</v>
      </c>
      <c r="H195" s="2" t="s">
        <v>1839</v>
      </c>
      <c r="I195" s="2" t="s">
        <v>1926</v>
      </c>
    </row>
    <row r="196" spans="1:9" x14ac:dyDescent="0.3">
      <c r="A196" s="2" t="s">
        <v>14</v>
      </c>
      <c r="D196" s="2" t="s">
        <v>375</v>
      </c>
      <c r="F196" s="2" t="s">
        <v>303</v>
      </c>
      <c r="G196" s="2" t="s">
        <v>1753</v>
      </c>
      <c r="H196" s="2" t="s">
        <v>1840</v>
      </c>
      <c r="I196" s="2" t="s">
        <v>1927</v>
      </c>
    </row>
    <row r="197" spans="1:9" x14ac:dyDescent="0.3">
      <c r="A197" s="2" t="s">
        <v>14</v>
      </c>
      <c r="D197" s="2" t="s">
        <v>377</v>
      </c>
      <c r="F197" s="2" t="s">
        <v>2123</v>
      </c>
      <c r="G197" s="2" t="s">
        <v>1754</v>
      </c>
      <c r="H197" s="2" t="s">
        <v>1841</v>
      </c>
      <c r="I197" s="2" t="s">
        <v>1928</v>
      </c>
    </row>
    <row r="198" spans="1:9" x14ac:dyDescent="0.3">
      <c r="A198" s="2" t="s">
        <v>14</v>
      </c>
      <c r="D198" s="2" t="s">
        <v>379</v>
      </c>
      <c r="F198" s="2" t="s">
        <v>2124</v>
      </c>
      <c r="G198" s="2" t="s">
        <v>1755</v>
      </c>
      <c r="H198" s="2" t="s">
        <v>1842</v>
      </c>
      <c r="I198" s="2" t="s">
        <v>1929</v>
      </c>
    </row>
    <row r="199" spans="1:9" x14ac:dyDescent="0.3">
      <c r="A199" s="2" t="s">
        <v>14</v>
      </c>
      <c r="D199" s="2" t="s">
        <v>381</v>
      </c>
      <c r="F199" s="2" t="s">
        <v>346</v>
      </c>
      <c r="G199" s="2" t="s">
        <v>1756</v>
      </c>
      <c r="H199" s="2" t="s">
        <v>1843</v>
      </c>
      <c r="I199" s="2" t="s">
        <v>1930</v>
      </c>
    </row>
    <row r="200" spans="1:9" x14ac:dyDescent="0.3">
      <c r="A200" s="2" t="s">
        <v>14</v>
      </c>
      <c r="D200" s="2" t="s">
        <v>383</v>
      </c>
      <c r="F200" s="2" t="s">
        <v>348</v>
      </c>
      <c r="G200" s="2" t="s">
        <v>1757</v>
      </c>
      <c r="H200" s="2" t="s">
        <v>1844</v>
      </c>
      <c r="I200" s="2" t="s">
        <v>1931</v>
      </c>
    </row>
    <row r="201" spans="1:9" x14ac:dyDescent="0.3">
      <c r="A201" s="2" t="s">
        <v>14</v>
      </c>
      <c r="D201" s="2" t="s">
        <v>385</v>
      </c>
      <c r="F201" s="2" t="s">
        <v>314</v>
      </c>
      <c r="G201" s="2" t="s">
        <v>1758</v>
      </c>
      <c r="H201" s="2" t="s">
        <v>1845</v>
      </c>
      <c r="I201" s="2" t="s">
        <v>1932</v>
      </c>
    </row>
    <row r="202" spans="1:9" x14ac:dyDescent="0.3">
      <c r="A202" s="2" t="s">
        <v>14</v>
      </c>
      <c r="D202" s="2" t="s">
        <v>387</v>
      </c>
      <c r="F202" s="2" t="s">
        <v>328</v>
      </c>
      <c r="G202" s="2" t="s">
        <v>1759</v>
      </c>
      <c r="H202" s="2" t="s">
        <v>1846</v>
      </c>
      <c r="I202" s="2" t="s">
        <v>1933</v>
      </c>
    </row>
    <row r="203" spans="1:9" x14ac:dyDescent="0.3">
      <c r="A203" s="2" t="s">
        <v>14</v>
      </c>
      <c r="D203" s="2" t="s">
        <v>389</v>
      </c>
      <c r="F203" s="2" t="s">
        <v>2125</v>
      </c>
      <c r="G203" s="2" t="s">
        <v>1760</v>
      </c>
      <c r="H203" s="2" t="s">
        <v>1847</v>
      </c>
      <c r="I203" s="2" t="s">
        <v>1934</v>
      </c>
    </row>
    <row r="204" spans="1:9" x14ac:dyDescent="0.3">
      <c r="A204" s="2" t="s">
        <v>14</v>
      </c>
      <c r="D204" s="2" t="s">
        <v>2126</v>
      </c>
      <c r="F204" s="2" t="s">
        <v>332</v>
      </c>
      <c r="G204" s="2" t="s">
        <v>2616</v>
      </c>
      <c r="H204" s="2" t="s">
        <v>2620</v>
      </c>
      <c r="I204" s="2" t="s">
        <v>2624</v>
      </c>
    </row>
    <row r="205" spans="1:9" x14ac:dyDescent="0.3">
      <c r="A205" s="2" t="s">
        <v>14</v>
      </c>
      <c r="D205" s="2" t="s">
        <v>2127</v>
      </c>
      <c r="F205" s="2" t="s">
        <v>360</v>
      </c>
      <c r="G205" s="2" t="s">
        <v>2617</v>
      </c>
      <c r="H205" s="2" t="s">
        <v>2621</v>
      </c>
      <c r="I205" s="2" t="s">
        <v>2625</v>
      </c>
    </row>
    <row r="206" spans="1:9" x14ac:dyDescent="0.3">
      <c r="A206" s="2" t="s">
        <v>14</v>
      </c>
      <c r="D206" s="2" t="s">
        <v>392</v>
      </c>
      <c r="F206" s="2" t="s">
        <v>362</v>
      </c>
      <c r="G206" s="2" t="s">
        <v>1584</v>
      </c>
      <c r="H206" s="2" t="s">
        <v>1614</v>
      </c>
      <c r="I206" s="2" t="s">
        <v>1644</v>
      </c>
    </row>
    <row r="207" spans="1:9" x14ac:dyDescent="0.3">
      <c r="A207" s="2" t="s">
        <v>14</v>
      </c>
      <c r="D207" s="2" t="s">
        <v>393</v>
      </c>
      <c r="F207" s="2" t="s">
        <v>358</v>
      </c>
      <c r="G207" s="2" t="s">
        <v>1585</v>
      </c>
      <c r="H207" s="2" t="s">
        <v>1615</v>
      </c>
      <c r="I207" s="2" t="s">
        <v>1645</v>
      </c>
    </row>
    <row r="208" spans="1:9" x14ac:dyDescent="0.3">
      <c r="A208" s="2" t="s">
        <v>14</v>
      </c>
      <c r="D208" s="2" t="s">
        <v>395</v>
      </c>
      <c r="F208" s="2" t="s">
        <v>2128</v>
      </c>
      <c r="G208" s="2" t="s">
        <v>1586</v>
      </c>
      <c r="H208" s="2" t="s">
        <v>1616</v>
      </c>
      <c r="I208" s="2" t="s">
        <v>1646</v>
      </c>
    </row>
    <row r="209" spans="1:9" x14ac:dyDescent="0.3">
      <c r="A209" s="2" t="s">
        <v>14</v>
      </c>
      <c r="D209" s="2" t="s">
        <v>397</v>
      </c>
      <c r="F209" s="2" t="s">
        <v>2129</v>
      </c>
      <c r="G209" s="2" t="s">
        <v>1587</v>
      </c>
      <c r="H209" s="2" t="s">
        <v>1617</v>
      </c>
      <c r="I209" s="2" t="s">
        <v>1647</v>
      </c>
    </row>
    <row r="210" spans="1:9" x14ac:dyDescent="0.3">
      <c r="A210" s="2" t="s">
        <v>14</v>
      </c>
      <c r="D210" s="2" t="s">
        <v>399</v>
      </c>
      <c r="F210" s="2" t="s">
        <v>2130</v>
      </c>
      <c r="G210" s="2" t="s">
        <v>1588</v>
      </c>
      <c r="H210" s="2" t="s">
        <v>1618</v>
      </c>
      <c r="I210" s="2" t="s">
        <v>1648</v>
      </c>
    </row>
    <row r="211" spans="1:9" x14ac:dyDescent="0.3">
      <c r="A211" s="2" t="s">
        <v>14</v>
      </c>
      <c r="D211" s="2" t="s">
        <v>401</v>
      </c>
      <c r="F211" s="2" t="s">
        <v>308</v>
      </c>
      <c r="G211" s="2" t="s">
        <v>1589</v>
      </c>
      <c r="H211" s="2" t="s">
        <v>1619</v>
      </c>
      <c r="I211" s="2" t="s">
        <v>1649</v>
      </c>
    </row>
    <row r="212" spans="1:9" x14ac:dyDescent="0.3">
      <c r="A212" s="2" t="s">
        <v>14</v>
      </c>
      <c r="D212" s="2" t="s">
        <v>403</v>
      </c>
      <c r="F212" s="2" t="s">
        <v>2131</v>
      </c>
      <c r="G212" s="2" t="s">
        <v>1590</v>
      </c>
      <c r="H212" s="2" t="s">
        <v>1620</v>
      </c>
      <c r="I212" s="2" t="s">
        <v>1650</v>
      </c>
    </row>
    <row r="213" spans="1:9" x14ac:dyDescent="0.3">
      <c r="A213" s="2" t="s">
        <v>14</v>
      </c>
      <c r="D213" s="2" t="s">
        <v>405</v>
      </c>
      <c r="F213" s="2" t="s">
        <v>2132</v>
      </c>
      <c r="G213" s="2" t="s">
        <v>1591</v>
      </c>
      <c r="H213" s="2" t="s">
        <v>1621</v>
      </c>
      <c r="I213" s="2" t="s">
        <v>1651</v>
      </c>
    </row>
    <row r="214" spans="1:9" x14ac:dyDescent="0.3">
      <c r="A214" s="2" t="s">
        <v>14</v>
      </c>
      <c r="D214" s="2" t="s">
        <v>407</v>
      </c>
      <c r="F214" s="2" t="s">
        <v>324</v>
      </c>
      <c r="G214" s="2" t="s">
        <v>1592</v>
      </c>
      <c r="H214" s="2" t="s">
        <v>1622</v>
      </c>
      <c r="I214" s="2" t="s">
        <v>1652</v>
      </c>
    </row>
    <row r="215" spans="1:9" x14ac:dyDescent="0.3">
      <c r="A215" s="2" t="s">
        <v>14</v>
      </c>
      <c r="D215" s="2" t="s">
        <v>409</v>
      </c>
      <c r="F215" s="2" t="s">
        <v>326</v>
      </c>
      <c r="G215" s="2" t="s">
        <v>1593</v>
      </c>
      <c r="H215" s="2" t="s">
        <v>1623</v>
      </c>
      <c r="I215" s="2" t="s">
        <v>1653</v>
      </c>
    </row>
    <row r="216" spans="1:9" x14ac:dyDescent="0.3">
      <c r="A216" s="2" t="s">
        <v>14</v>
      </c>
      <c r="D216" s="2" t="s">
        <v>411</v>
      </c>
      <c r="F216" s="2" t="s">
        <v>2133</v>
      </c>
      <c r="G216" s="2" t="s">
        <v>1594</v>
      </c>
      <c r="H216" s="2" t="s">
        <v>1624</v>
      </c>
      <c r="I216" s="2" t="s">
        <v>1654</v>
      </c>
    </row>
    <row r="217" spans="1:9" x14ac:dyDescent="0.3">
      <c r="A217" s="2" t="s">
        <v>14</v>
      </c>
      <c r="D217" s="2" t="s">
        <v>413</v>
      </c>
      <c r="F217" s="2" t="s">
        <v>2134</v>
      </c>
      <c r="G217" s="2" t="s">
        <v>1595</v>
      </c>
      <c r="H217" s="2" t="s">
        <v>1625</v>
      </c>
      <c r="I217" s="2" t="s">
        <v>1655</v>
      </c>
    </row>
    <row r="218" spans="1:9" x14ac:dyDescent="0.3">
      <c r="A218" s="2" t="s">
        <v>14</v>
      </c>
      <c r="D218" s="2" t="s">
        <v>415</v>
      </c>
      <c r="F218" s="2" t="s">
        <v>2647</v>
      </c>
      <c r="G218" s="2" t="s">
        <v>1596</v>
      </c>
      <c r="H218" s="2" t="s">
        <v>1626</v>
      </c>
      <c r="I218" s="2" t="s">
        <v>1656</v>
      </c>
    </row>
    <row r="219" spans="1:9" x14ac:dyDescent="0.3">
      <c r="A219" s="2" t="s">
        <v>14</v>
      </c>
      <c r="D219" s="2" t="s">
        <v>417</v>
      </c>
      <c r="F219" s="2" t="s">
        <v>2648</v>
      </c>
      <c r="G219" s="2" t="s">
        <v>1597</v>
      </c>
      <c r="H219" s="2" t="s">
        <v>1627</v>
      </c>
      <c r="I219" s="2" t="s">
        <v>1657</v>
      </c>
    </row>
    <row r="220" spans="1:9" x14ac:dyDescent="0.3">
      <c r="A220" s="2" t="s">
        <v>14</v>
      </c>
      <c r="D220" s="2" t="s">
        <v>419</v>
      </c>
      <c r="F220" s="2" t="s">
        <v>2136</v>
      </c>
      <c r="G220" s="2" t="s">
        <v>1598</v>
      </c>
      <c r="H220" s="2" t="s">
        <v>1628</v>
      </c>
      <c r="I220" s="2" t="s">
        <v>1658</v>
      </c>
    </row>
    <row r="221" spans="1:9" x14ac:dyDescent="0.3">
      <c r="A221" s="2" t="s">
        <v>14</v>
      </c>
      <c r="D221" s="2" t="s">
        <v>421</v>
      </c>
      <c r="F221" s="2" t="s">
        <v>2649</v>
      </c>
      <c r="G221" s="2" t="s">
        <v>1599</v>
      </c>
      <c r="H221" s="2" t="s">
        <v>1629</v>
      </c>
      <c r="I221" s="2" t="s">
        <v>1659</v>
      </c>
    </row>
    <row r="222" spans="1:9" x14ac:dyDescent="0.3">
      <c r="A222" s="2" t="s">
        <v>14</v>
      </c>
      <c r="D222" s="2" t="s">
        <v>423</v>
      </c>
      <c r="F222" s="2" t="s">
        <v>334</v>
      </c>
      <c r="G222" s="2" t="s">
        <v>1600</v>
      </c>
      <c r="H222" s="2" t="s">
        <v>1630</v>
      </c>
      <c r="I222" s="2" t="s">
        <v>1660</v>
      </c>
    </row>
    <row r="223" spans="1:9" x14ac:dyDescent="0.3">
      <c r="A223" s="2" t="s">
        <v>14</v>
      </c>
      <c r="D223" s="2" t="s">
        <v>425</v>
      </c>
      <c r="F223" s="2" t="s">
        <v>336</v>
      </c>
      <c r="G223" s="2" t="s">
        <v>1601</v>
      </c>
      <c r="H223" s="2" t="s">
        <v>1631</v>
      </c>
      <c r="I223" s="2" t="s">
        <v>1661</v>
      </c>
    </row>
    <row r="224" spans="1:9" x14ac:dyDescent="0.3">
      <c r="A224" s="2" t="s">
        <v>14</v>
      </c>
      <c r="D224" s="2" t="s">
        <v>427</v>
      </c>
      <c r="F224" s="2" t="s">
        <v>2137</v>
      </c>
      <c r="G224" s="2" t="s">
        <v>1602</v>
      </c>
      <c r="H224" s="2" t="s">
        <v>1632</v>
      </c>
      <c r="I224" s="2" t="s">
        <v>1662</v>
      </c>
    </row>
    <row r="225" spans="1:9" x14ac:dyDescent="0.3">
      <c r="A225" s="2" t="s">
        <v>14</v>
      </c>
      <c r="D225" s="2" t="s">
        <v>429</v>
      </c>
      <c r="F225" s="2" t="s">
        <v>2138</v>
      </c>
      <c r="G225" s="2" t="s">
        <v>1603</v>
      </c>
      <c r="H225" s="2" t="s">
        <v>1633</v>
      </c>
      <c r="I225" s="2" t="s">
        <v>1663</v>
      </c>
    </row>
    <row r="226" spans="1:9" x14ac:dyDescent="0.3">
      <c r="A226" s="2" t="s">
        <v>14</v>
      </c>
      <c r="D226" s="2" t="s">
        <v>431</v>
      </c>
      <c r="F226" s="2" t="s">
        <v>2139</v>
      </c>
      <c r="G226" s="2" t="s">
        <v>1604</v>
      </c>
      <c r="H226" s="2" t="s">
        <v>1634</v>
      </c>
      <c r="I226" s="2" t="s">
        <v>1664</v>
      </c>
    </row>
    <row r="227" spans="1:9" x14ac:dyDescent="0.3">
      <c r="A227" s="2" t="s">
        <v>14</v>
      </c>
      <c r="D227" s="2" t="s">
        <v>433</v>
      </c>
      <c r="F227" s="2" t="s">
        <v>2140</v>
      </c>
      <c r="G227" s="2" t="s">
        <v>1605</v>
      </c>
      <c r="H227" s="2" t="s">
        <v>1635</v>
      </c>
      <c r="I227" s="2" t="s">
        <v>1665</v>
      </c>
    </row>
    <row r="228" spans="1:9" x14ac:dyDescent="0.3">
      <c r="A228" s="2" t="s">
        <v>14</v>
      </c>
      <c r="D228" s="2" t="s">
        <v>435</v>
      </c>
      <c r="F228" s="2" t="s">
        <v>2135</v>
      </c>
      <c r="G228" s="2" t="s">
        <v>1606</v>
      </c>
      <c r="H228" s="2" t="s">
        <v>1636</v>
      </c>
      <c r="I228" s="2" t="s">
        <v>1666</v>
      </c>
    </row>
    <row r="229" spans="1:9" x14ac:dyDescent="0.3">
      <c r="A229" s="2" t="s">
        <v>14</v>
      </c>
      <c r="D229" s="2" t="s">
        <v>437</v>
      </c>
      <c r="F229" s="2" t="s">
        <v>2141</v>
      </c>
      <c r="G229" s="2" t="s">
        <v>1607</v>
      </c>
      <c r="H229" s="2" t="s">
        <v>1637</v>
      </c>
      <c r="I229" s="2" t="s">
        <v>1667</v>
      </c>
    </row>
    <row r="230" spans="1:9" x14ac:dyDescent="0.3">
      <c r="A230" s="2" t="s">
        <v>14</v>
      </c>
      <c r="D230" s="2" t="s">
        <v>438</v>
      </c>
      <c r="F230" s="2" t="s">
        <v>2142</v>
      </c>
      <c r="G230" s="2" t="s">
        <v>1608</v>
      </c>
      <c r="H230" s="2" t="s">
        <v>1638</v>
      </c>
      <c r="I230" s="2" t="s">
        <v>1668</v>
      </c>
    </row>
    <row r="231" spans="1:9" x14ac:dyDescent="0.3">
      <c r="A231" s="2" t="s">
        <v>14</v>
      </c>
      <c r="D231" s="2" t="s">
        <v>440</v>
      </c>
      <c r="F231" s="2" t="s">
        <v>2143</v>
      </c>
      <c r="G231" s="2" t="s">
        <v>1609</v>
      </c>
      <c r="H231" s="2" t="s">
        <v>1639</v>
      </c>
      <c r="I231" s="2" t="s">
        <v>1669</v>
      </c>
    </row>
    <row r="232" spans="1:9" x14ac:dyDescent="0.3">
      <c r="A232" s="2" t="s">
        <v>14</v>
      </c>
      <c r="D232" s="2" t="s">
        <v>442</v>
      </c>
      <c r="F232" s="2" t="s">
        <v>2144</v>
      </c>
      <c r="G232" s="2" t="s">
        <v>1610</v>
      </c>
      <c r="H232" s="2" t="s">
        <v>1640</v>
      </c>
      <c r="I232" s="2" t="s">
        <v>1670</v>
      </c>
    </row>
    <row r="233" spans="1:9" x14ac:dyDescent="0.3">
      <c r="A233" s="2" t="s">
        <v>14</v>
      </c>
      <c r="D233" s="2" t="s">
        <v>444</v>
      </c>
      <c r="F233" s="2" t="s">
        <v>2650</v>
      </c>
      <c r="G233" s="2" t="s">
        <v>1611</v>
      </c>
      <c r="H233" s="2" t="s">
        <v>1641</v>
      </c>
      <c r="I233" s="2" t="s">
        <v>1671</v>
      </c>
    </row>
    <row r="234" spans="1:9" x14ac:dyDescent="0.3">
      <c r="A234" s="2" t="s">
        <v>14</v>
      </c>
      <c r="D234" s="2" t="s">
        <v>446</v>
      </c>
      <c r="F234" s="2" t="s">
        <v>2145</v>
      </c>
      <c r="G234" s="2" t="s">
        <v>1612</v>
      </c>
      <c r="H234" s="2" t="s">
        <v>1642</v>
      </c>
      <c r="I234" s="2" t="s">
        <v>1672</v>
      </c>
    </row>
    <row r="235" spans="1:9" x14ac:dyDescent="0.3">
      <c r="A235" s="2" t="s">
        <v>14</v>
      </c>
      <c r="D235" s="2" t="s">
        <v>448</v>
      </c>
      <c r="F235" s="2" t="s">
        <v>338</v>
      </c>
      <c r="G235" s="2" t="s">
        <v>1613</v>
      </c>
      <c r="H235" s="2" t="s">
        <v>1643</v>
      </c>
      <c r="I235" s="2" t="s">
        <v>1673</v>
      </c>
    </row>
    <row r="236" spans="1:9" x14ac:dyDescent="0.3">
      <c r="A236" s="2" t="s">
        <v>14</v>
      </c>
      <c r="D236" s="2" t="s">
        <v>2146</v>
      </c>
      <c r="F236" s="2" t="s">
        <v>340</v>
      </c>
      <c r="G236" s="2" t="s">
        <v>2618</v>
      </c>
      <c r="H236" s="2" t="s">
        <v>2622</v>
      </c>
      <c r="I236" s="2" t="s">
        <v>2626</v>
      </c>
    </row>
    <row r="237" spans="1:9" x14ac:dyDescent="0.3">
      <c r="A237" s="2" t="s">
        <v>14</v>
      </c>
      <c r="D237" s="2" t="s">
        <v>2148</v>
      </c>
      <c r="F237" s="2" t="s">
        <v>2147</v>
      </c>
      <c r="G237" s="2" t="s">
        <v>2619</v>
      </c>
      <c r="H237" s="2" t="s">
        <v>2623</v>
      </c>
      <c r="I237" s="2" t="s">
        <v>2627</v>
      </c>
    </row>
    <row r="238" spans="1:9" x14ac:dyDescent="0.3">
      <c r="A238" s="2" t="s">
        <v>14</v>
      </c>
      <c r="D238" s="2" t="s">
        <v>451</v>
      </c>
      <c r="F238" s="2" t="s">
        <v>2149</v>
      </c>
      <c r="G238" s="2" t="s">
        <v>1500</v>
      </c>
      <c r="H238" s="2" t="s">
        <v>1528</v>
      </c>
      <c r="I238" s="2" t="s">
        <v>1556</v>
      </c>
    </row>
    <row r="239" spans="1:9" x14ac:dyDescent="0.3">
      <c r="A239" s="2" t="s">
        <v>14</v>
      </c>
      <c r="D239" s="2" t="s">
        <v>452</v>
      </c>
      <c r="F239" s="2" t="s">
        <v>2150</v>
      </c>
      <c r="G239" s="2" t="s">
        <v>1501</v>
      </c>
      <c r="H239" s="2" t="s">
        <v>1529</v>
      </c>
      <c r="I239" s="2" t="s">
        <v>1557</v>
      </c>
    </row>
    <row r="240" spans="1:9" x14ac:dyDescent="0.3">
      <c r="A240" s="2" t="s">
        <v>14</v>
      </c>
      <c r="D240" s="2" t="s">
        <v>454</v>
      </c>
      <c r="F240" s="2" t="s">
        <v>2151</v>
      </c>
      <c r="G240" s="2" t="s">
        <v>1502</v>
      </c>
      <c r="H240" s="2" t="s">
        <v>1530</v>
      </c>
      <c r="I240" s="2" t="s">
        <v>1558</v>
      </c>
    </row>
    <row r="241" spans="1:9" x14ac:dyDescent="0.3">
      <c r="A241" s="2" t="s">
        <v>14</v>
      </c>
      <c r="D241" s="2" t="s">
        <v>456</v>
      </c>
      <c r="F241" s="2" t="s">
        <v>2152</v>
      </c>
      <c r="G241" s="2" t="s">
        <v>1503</v>
      </c>
      <c r="H241" s="2" t="s">
        <v>1531</v>
      </c>
      <c r="I241" s="2" t="s">
        <v>1559</v>
      </c>
    </row>
    <row r="242" spans="1:9" x14ac:dyDescent="0.3">
      <c r="A242" s="2" t="s">
        <v>14</v>
      </c>
      <c r="D242" s="2" t="s">
        <v>458</v>
      </c>
      <c r="F242" s="2" t="s">
        <v>2153</v>
      </c>
      <c r="G242" s="2" t="s">
        <v>1504</v>
      </c>
      <c r="H242" s="2" t="s">
        <v>1532</v>
      </c>
      <c r="I242" s="2" t="s">
        <v>1560</v>
      </c>
    </row>
    <row r="243" spans="1:9" x14ac:dyDescent="0.3">
      <c r="A243" s="2" t="s">
        <v>14</v>
      </c>
      <c r="D243" s="2" t="s">
        <v>460</v>
      </c>
      <c r="F243" s="2" t="s">
        <v>2154</v>
      </c>
      <c r="G243" s="2" t="s">
        <v>1505</v>
      </c>
      <c r="H243" s="2" t="s">
        <v>1533</v>
      </c>
      <c r="I243" s="2" t="s">
        <v>1561</v>
      </c>
    </row>
    <row r="244" spans="1:9" x14ac:dyDescent="0.3">
      <c r="A244" s="2" t="s">
        <v>14</v>
      </c>
      <c r="D244" s="2" t="s">
        <v>462</v>
      </c>
      <c r="F244" s="2" t="s">
        <v>2155</v>
      </c>
      <c r="G244" s="2" t="s">
        <v>1506</v>
      </c>
      <c r="H244" s="2" t="s">
        <v>1534</v>
      </c>
      <c r="I244" s="2" t="s">
        <v>1562</v>
      </c>
    </row>
    <row r="245" spans="1:9" x14ac:dyDescent="0.3">
      <c r="A245" s="2" t="s">
        <v>14</v>
      </c>
      <c r="D245" s="2" t="s">
        <v>464</v>
      </c>
      <c r="F245" s="2" t="s">
        <v>2651</v>
      </c>
      <c r="G245" s="2" t="s">
        <v>1507</v>
      </c>
      <c r="H245" s="2" t="s">
        <v>1535</v>
      </c>
      <c r="I245" s="2" t="s">
        <v>1563</v>
      </c>
    </row>
    <row r="246" spans="1:9" x14ac:dyDescent="0.3">
      <c r="A246" s="2" t="s">
        <v>14</v>
      </c>
      <c r="D246" s="2" t="s">
        <v>466</v>
      </c>
      <c r="F246" s="2" t="s">
        <v>2652</v>
      </c>
      <c r="G246" s="2" t="s">
        <v>1508</v>
      </c>
      <c r="H246" s="2" t="s">
        <v>1536</v>
      </c>
      <c r="I246" s="2" t="s">
        <v>1564</v>
      </c>
    </row>
    <row r="247" spans="1:9" x14ac:dyDescent="0.3">
      <c r="A247" s="2" t="s">
        <v>14</v>
      </c>
      <c r="D247" s="2" t="s">
        <v>468</v>
      </c>
      <c r="F247" s="2" t="s">
        <v>350</v>
      </c>
      <c r="G247" s="2" t="s">
        <v>1509</v>
      </c>
      <c r="H247" s="2" t="s">
        <v>1537</v>
      </c>
      <c r="I247" s="2" t="s">
        <v>1565</v>
      </c>
    </row>
    <row r="248" spans="1:9" x14ac:dyDescent="0.3">
      <c r="A248" s="2" t="s">
        <v>14</v>
      </c>
      <c r="D248" s="2" t="s">
        <v>470</v>
      </c>
      <c r="F248" s="2" t="s">
        <v>368</v>
      </c>
      <c r="G248" s="2" t="s">
        <v>1510</v>
      </c>
      <c r="H248" s="2" t="s">
        <v>1538</v>
      </c>
      <c r="I248" s="2" t="s">
        <v>1566</v>
      </c>
    </row>
    <row r="249" spans="1:9" x14ac:dyDescent="0.3">
      <c r="A249" s="2" t="s">
        <v>14</v>
      </c>
      <c r="D249" s="2" t="s">
        <v>472</v>
      </c>
      <c r="F249" s="2" t="s">
        <v>370</v>
      </c>
      <c r="G249" s="2" t="s">
        <v>1511</v>
      </c>
      <c r="H249" s="2" t="s">
        <v>1539</v>
      </c>
      <c r="I249" s="2" t="s">
        <v>1567</v>
      </c>
    </row>
    <row r="250" spans="1:9" x14ac:dyDescent="0.3">
      <c r="A250" s="2" t="s">
        <v>14</v>
      </c>
      <c r="D250" s="2" t="s">
        <v>474</v>
      </c>
      <c r="F250" s="2" t="s">
        <v>380</v>
      </c>
      <c r="G250" s="2" t="s">
        <v>1512</v>
      </c>
      <c r="H250" s="2" t="s">
        <v>1540</v>
      </c>
      <c r="I250" s="2" t="s">
        <v>1568</v>
      </c>
    </row>
    <row r="251" spans="1:9" x14ac:dyDescent="0.3">
      <c r="A251" s="2" t="s">
        <v>14</v>
      </c>
      <c r="D251" s="2" t="s">
        <v>476</v>
      </c>
      <c r="F251" s="2" t="s">
        <v>382</v>
      </c>
      <c r="G251" s="2" t="s">
        <v>1513</v>
      </c>
      <c r="H251" s="2" t="s">
        <v>1541</v>
      </c>
      <c r="I251" s="2" t="s">
        <v>1569</v>
      </c>
    </row>
    <row r="252" spans="1:9" x14ac:dyDescent="0.3">
      <c r="A252" s="2" t="s">
        <v>14</v>
      </c>
      <c r="D252" s="2" t="s">
        <v>478</v>
      </c>
      <c r="F252" s="2" t="s">
        <v>354</v>
      </c>
      <c r="G252" s="2" t="s">
        <v>1514</v>
      </c>
      <c r="H252" s="2" t="s">
        <v>1542</v>
      </c>
      <c r="I252" s="2" t="s">
        <v>1570</v>
      </c>
    </row>
    <row r="253" spans="1:9" x14ac:dyDescent="0.3">
      <c r="A253" s="2" t="s">
        <v>14</v>
      </c>
      <c r="D253" s="2" t="s">
        <v>480</v>
      </c>
      <c r="F253" s="2" t="s">
        <v>356</v>
      </c>
      <c r="G253" s="2" t="s">
        <v>1515</v>
      </c>
      <c r="H253" s="2" t="s">
        <v>1543</v>
      </c>
      <c r="I253" s="2" t="s">
        <v>1571</v>
      </c>
    </row>
    <row r="254" spans="1:9" x14ac:dyDescent="0.3">
      <c r="A254" s="2" t="s">
        <v>14</v>
      </c>
      <c r="D254" s="2" t="s">
        <v>482</v>
      </c>
      <c r="F254" s="2" t="s">
        <v>2156</v>
      </c>
      <c r="G254" s="2" t="s">
        <v>1516</v>
      </c>
      <c r="H254" s="2" t="s">
        <v>1544</v>
      </c>
      <c r="I254" s="2" t="s">
        <v>1572</v>
      </c>
    </row>
    <row r="255" spans="1:9" x14ac:dyDescent="0.3">
      <c r="A255" s="2" t="s">
        <v>14</v>
      </c>
      <c r="D255" s="2" t="s">
        <v>484</v>
      </c>
      <c r="F255" s="2" t="s">
        <v>2157</v>
      </c>
      <c r="G255" s="2" t="s">
        <v>1517</v>
      </c>
      <c r="H255" s="2" t="s">
        <v>1545</v>
      </c>
      <c r="I255" s="2" t="s">
        <v>1573</v>
      </c>
    </row>
    <row r="256" spans="1:9" x14ac:dyDescent="0.3">
      <c r="A256" s="2" t="s">
        <v>14</v>
      </c>
      <c r="D256" s="2" t="s">
        <v>486</v>
      </c>
      <c r="F256" s="2" t="s">
        <v>372</v>
      </c>
      <c r="G256" s="2" t="s">
        <v>1518</v>
      </c>
      <c r="H256" s="2" t="s">
        <v>1546</v>
      </c>
      <c r="I256" s="2" t="s">
        <v>1574</v>
      </c>
    </row>
    <row r="257" spans="1:9" x14ac:dyDescent="0.3">
      <c r="A257" s="2" t="s">
        <v>14</v>
      </c>
      <c r="D257" s="2" t="s">
        <v>488</v>
      </c>
      <c r="F257" s="2" t="s">
        <v>374</v>
      </c>
      <c r="G257" s="2" t="s">
        <v>1519</v>
      </c>
      <c r="H257" s="2" t="s">
        <v>1547</v>
      </c>
      <c r="I257" s="2" t="s">
        <v>1575</v>
      </c>
    </row>
    <row r="258" spans="1:9" x14ac:dyDescent="0.3">
      <c r="A258" s="2" t="s">
        <v>14</v>
      </c>
      <c r="D258" s="2" t="s">
        <v>490</v>
      </c>
      <c r="F258" s="2" t="s">
        <v>2158</v>
      </c>
      <c r="G258" s="2" t="s">
        <v>1520</v>
      </c>
      <c r="H258" s="2" t="s">
        <v>1548</v>
      </c>
      <c r="I258" s="2" t="s">
        <v>1576</v>
      </c>
    </row>
    <row r="259" spans="1:9" x14ac:dyDescent="0.3">
      <c r="A259" s="2" t="s">
        <v>14</v>
      </c>
      <c r="D259" s="2" t="s">
        <v>492</v>
      </c>
      <c r="F259" s="2" t="s">
        <v>384</v>
      </c>
      <c r="G259" s="2" t="s">
        <v>1521</v>
      </c>
      <c r="H259" s="2" t="s">
        <v>1549</v>
      </c>
      <c r="I259" s="2" t="s">
        <v>1577</v>
      </c>
    </row>
    <row r="260" spans="1:9" x14ac:dyDescent="0.3">
      <c r="A260" s="2" t="s">
        <v>14</v>
      </c>
      <c r="D260" s="2" t="s">
        <v>494</v>
      </c>
      <c r="F260" s="2" t="s">
        <v>386</v>
      </c>
      <c r="G260" s="2" t="s">
        <v>1522</v>
      </c>
      <c r="H260" s="2" t="s">
        <v>1550</v>
      </c>
      <c r="I260" s="2" t="s">
        <v>1578</v>
      </c>
    </row>
    <row r="261" spans="1:9" x14ac:dyDescent="0.3">
      <c r="A261" s="2" t="s">
        <v>14</v>
      </c>
      <c r="D261" s="2" t="s">
        <v>496</v>
      </c>
      <c r="F261" s="2" t="s">
        <v>388</v>
      </c>
      <c r="G261" s="2" t="s">
        <v>1523</v>
      </c>
      <c r="H261" s="2" t="s">
        <v>1551</v>
      </c>
      <c r="I261" s="2" t="s">
        <v>1579</v>
      </c>
    </row>
    <row r="262" spans="1:9" x14ac:dyDescent="0.3">
      <c r="A262" s="2" t="s">
        <v>14</v>
      </c>
      <c r="D262" s="2" t="s">
        <v>498</v>
      </c>
      <c r="F262" s="2" t="s">
        <v>390</v>
      </c>
      <c r="G262" s="2" t="s">
        <v>1524</v>
      </c>
      <c r="H262" s="2" t="s">
        <v>1552</v>
      </c>
      <c r="I262" s="2" t="s">
        <v>1580</v>
      </c>
    </row>
    <row r="263" spans="1:9" x14ac:dyDescent="0.3">
      <c r="A263" s="2" t="s">
        <v>14</v>
      </c>
      <c r="D263" s="2" t="s">
        <v>500</v>
      </c>
      <c r="F263" s="2" t="s">
        <v>352</v>
      </c>
      <c r="G263" s="2" t="s">
        <v>1525</v>
      </c>
      <c r="H263" s="2" t="s">
        <v>1553</v>
      </c>
      <c r="I263" s="2" t="s">
        <v>1581</v>
      </c>
    </row>
    <row r="264" spans="1:9" x14ac:dyDescent="0.3">
      <c r="A264" s="2" t="s">
        <v>14</v>
      </c>
      <c r="D264" s="2" t="s">
        <v>502</v>
      </c>
      <c r="F264" s="2" t="s">
        <v>2159</v>
      </c>
      <c r="G264" s="2" t="s">
        <v>1526</v>
      </c>
      <c r="H264" s="2" t="s">
        <v>1554</v>
      </c>
      <c r="I264" s="2" t="s">
        <v>1582</v>
      </c>
    </row>
    <row r="265" spans="1:9" x14ac:dyDescent="0.3">
      <c r="A265" s="2" t="s">
        <v>14</v>
      </c>
      <c r="D265" s="2" t="s">
        <v>504</v>
      </c>
      <c r="F265" s="2" t="s">
        <v>2653</v>
      </c>
      <c r="G265" s="2" t="s">
        <v>1527</v>
      </c>
      <c r="H265" s="2" t="s">
        <v>1555</v>
      </c>
      <c r="I265" s="2" t="s">
        <v>1583</v>
      </c>
    </row>
    <row r="266" spans="1:9" x14ac:dyDescent="0.3">
      <c r="A266" s="2" t="s">
        <v>14</v>
      </c>
      <c r="D266" s="2" t="s">
        <v>2654</v>
      </c>
      <c r="F266" s="2" t="s">
        <v>2655</v>
      </c>
      <c r="G266" s="2" t="s">
        <v>2764</v>
      </c>
      <c r="H266" s="2" t="s">
        <v>2766</v>
      </c>
      <c r="I266" s="2" t="s">
        <v>2768</v>
      </c>
    </row>
    <row r="267" spans="1:9" x14ac:dyDescent="0.3">
      <c r="A267" s="2" t="s">
        <v>14</v>
      </c>
      <c r="D267" s="2" t="s">
        <v>2656</v>
      </c>
      <c r="F267" s="2" t="s">
        <v>364</v>
      </c>
      <c r="G267" s="2" t="s">
        <v>2765</v>
      </c>
      <c r="H267" s="2" t="s">
        <v>2767</v>
      </c>
      <c r="I267" s="2" t="s">
        <v>2769</v>
      </c>
    </row>
    <row r="268" spans="1:9" x14ac:dyDescent="0.3">
      <c r="A268" s="2" t="s">
        <v>14</v>
      </c>
      <c r="D268" s="2" t="s">
        <v>507</v>
      </c>
      <c r="F268" s="2" t="s">
        <v>366</v>
      </c>
      <c r="G268" s="2" t="s">
        <v>1137</v>
      </c>
      <c r="H268" s="2" t="s">
        <v>1258</v>
      </c>
      <c r="I268" s="2" t="s">
        <v>1379</v>
      </c>
    </row>
    <row r="269" spans="1:9" x14ac:dyDescent="0.3">
      <c r="A269" s="2" t="s">
        <v>14</v>
      </c>
      <c r="D269" s="2" t="s">
        <v>508</v>
      </c>
      <c r="F269" s="2" t="s">
        <v>2657</v>
      </c>
      <c r="G269" s="2" t="s">
        <v>1138</v>
      </c>
      <c r="H269" s="2" t="s">
        <v>1259</v>
      </c>
      <c r="I269" s="2" t="s">
        <v>1380</v>
      </c>
    </row>
    <row r="270" spans="1:9" x14ac:dyDescent="0.3">
      <c r="A270" s="2" t="s">
        <v>14</v>
      </c>
      <c r="D270" s="2" t="s">
        <v>510</v>
      </c>
      <c r="F270" s="2" t="s">
        <v>2658</v>
      </c>
      <c r="G270" s="2" t="s">
        <v>1139</v>
      </c>
      <c r="H270" s="2" t="s">
        <v>1260</v>
      </c>
      <c r="I270" s="2" t="s">
        <v>1381</v>
      </c>
    </row>
    <row r="271" spans="1:9" x14ac:dyDescent="0.3">
      <c r="A271" s="2" t="s">
        <v>14</v>
      </c>
      <c r="D271" s="2" t="s">
        <v>512</v>
      </c>
      <c r="F271" s="2" t="s">
        <v>376</v>
      </c>
      <c r="G271" s="2" t="s">
        <v>1140</v>
      </c>
      <c r="H271" s="2" t="s">
        <v>1261</v>
      </c>
      <c r="I271" s="2" t="s">
        <v>1382</v>
      </c>
    </row>
    <row r="272" spans="1:9" x14ac:dyDescent="0.3">
      <c r="A272" s="2" t="s">
        <v>14</v>
      </c>
      <c r="D272" s="2" t="s">
        <v>514</v>
      </c>
      <c r="F272" s="2" t="s">
        <v>378</v>
      </c>
      <c r="G272" s="2" t="s">
        <v>1141</v>
      </c>
      <c r="H272" s="2" t="s">
        <v>1262</v>
      </c>
      <c r="I272" s="2" t="s">
        <v>1383</v>
      </c>
    </row>
    <row r="273" spans="1:9" x14ac:dyDescent="0.3">
      <c r="A273" s="2" t="s">
        <v>14</v>
      </c>
      <c r="D273" s="2" t="s">
        <v>252</v>
      </c>
    </row>
    <row r="274" spans="1:9" x14ac:dyDescent="0.3">
      <c r="A274" s="2" t="s">
        <v>14</v>
      </c>
      <c r="D274" s="2" t="s">
        <v>2659</v>
      </c>
      <c r="E274" s="2" t="s">
        <v>391</v>
      </c>
      <c r="G274" s="2" t="s">
        <v>3</v>
      </c>
      <c r="H274" s="2" t="s">
        <v>4</v>
      </c>
      <c r="I274" s="2" t="s">
        <v>5</v>
      </c>
    </row>
    <row r="275" spans="1:9" x14ac:dyDescent="0.3">
      <c r="A275" s="2" t="s">
        <v>14</v>
      </c>
      <c r="D275" s="2" t="s">
        <v>518</v>
      </c>
      <c r="F275" s="2" t="s">
        <v>2660</v>
      </c>
      <c r="G275" s="2" t="s">
        <v>1142</v>
      </c>
      <c r="H275" s="2" t="s">
        <v>1263</v>
      </c>
      <c r="I275" s="2" t="s">
        <v>1384</v>
      </c>
    </row>
    <row r="276" spans="1:9" x14ac:dyDescent="0.3">
      <c r="A276" s="2" t="s">
        <v>14</v>
      </c>
      <c r="D276" s="2" t="s">
        <v>520</v>
      </c>
      <c r="F276" s="2" t="s">
        <v>394</v>
      </c>
      <c r="G276" s="2" t="s">
        <v>1143</v>
      </c>
      <c r="H276" s="2" t="s">
        <v>1264</v>
      </c>
      <c r="I276" s="2" t="s">
        <v>1385</v>
      </c>
    </row>
    <row r="277" spans="1:9" x14ac:dyDescent="0.3">
      <c r="A277" s="2" t="s">
        <v>14</v>
      </c>
      <c r="D277" s="2" t="s">
        <v>522</v>
      </c>
      <c r="F277" s="2" t="s">
        <v>396</v>
      </c>
      <c r="G277" s="2" t="s">
        <v>1144</v>
      </c>
      <c r="H277" s="2" t="s">
        <v>1265</v>
      </c>
      <c r="I277" s="2" t="s">
        <v>1386</v>
      </c>
    </row>
    <row r="278" spans="1:9" x14ac:dyDescent="0.3">
      <c r="A278" s="2" t="s">
        <v>14</v>
      </c>
      <c r="D278" s="2" t="s">
        <v>524</v>
      </c>
      <c r="F278" s="2" t="s">
        <v>398</v>
      </c>
      <c r="G278" s="2" t="s">
        <v>1145</v>
      </c>
      <c r="H278" s="2" t="s">
        <v>1266</v>
      </c>
      <c r="I278" s="2" t="s">
        <v>1387</v>
      </c>
    </row>
    <row r="279" spans="1:9" x14ac:dyDescent="0.3">
      <c r="A279" s="2" t="s">
        <v>14</v>
      </c>
      <c r="D279" s="2" t="s">
        <v>526</v>
      </c>
      <c r="F279" s="2" t="s">
        <v>400</v>
      </c>
      <c r="G279" s="2" t="s">
        <v>1146</v>
      </c>
      <c r="H279" s="2" t="s">
        <v>1267</v>
      </c>
      <c r="I279" s="2" t="s">
        <v>1388</v>
      </c>
    </row>
    <row r="280" spans="1:9" x14ac:dyDescent="0.3">
      <c r="A280" s="2" t="s">
        <v>14</v>
      </c>
      <c r="D280" s="2" t="s">
        <v>528</v>
      </c>
      <c r="F280" s="2" t="s">
        <v>402</v>
      </c>
      <c r="G280" s="2" t="s">
        <v>1147</v>
      </c>
      <c r="H280" s="2" t="s">
        <v>1268</v>
      </c>
      <c r="I280" s="2" t="s">
        <v>1389</v>
      </c>
    </row>
    <row r="281" spans="1:9" x14ac:dyDescent="0.3">
      <c r="A281" s="2" t="s">
        <v>14</v>
      </c>
      <c r="D281" s="2" t="s">
        <v>530</v>
      </c>
      <c r="F281" s="2" t="s">
        <v>404</v>
      </c>
      <c r="G281" s="2" t="s">
        <v>1148</v>
      </c>
      <c r="H281" s="2" t="s">
        <v>1269</v>
      </c>
      <c r="I281" s="2" t="s">
        <v>1390</v>
      </c>
    </row>
    <row r="282" spans="1:9" x14ac:dyDescent="0.3">
      <c r="A282" s="2" t="s">
        <v>14</v>
      </c>
      <c r="D282" s="2" t="s">
        <v>532</v>
      </c>
      <c r="F282" s="2" t="s">
        <v>406</v>
      </c>
      <c r="G282" s="2" t="s">
        <v>1149</v>
      </c>
      <c r="H282" s="2" t="s">
        <v>1270</v>
      </c>
      <c r="I282" s="2" t="s">
        <v>1391</v>
      </c>
    </row>
    <row r="283" spans="1:9" x14ac:dyDescent="0.3">
      <c r="A283" s="2" t="s">
        <v>14</v>
      </c>
      <c r="D283" s="2" t="s">
        <v>534</v>
      </c>
      <c r="F283" s="2" t="s">
        <v>408</v>
      </c>
      <c r="G283" s="2" t="s">
        <v>1150</v>
      </c>
      <c r="H283" s="2" t="s">
        <v>1271</v>
      </c>
      <c r="I283" s="2" t="s">
        <v>1392</v>
      </c>
    </row>
    <row r="284" spans="1:9" x14ac:dyDescent="0.3">
      <c r="A284" s="2" t="s">
        <v>14</v>
      </c>
      <c r="D284" s="2" t="s">
        <v>536</v>
      </c>
      <c r="F284" s="2" t="s">
        <v>410</v>
      </c>
      <c r="G284" s="2" t="s">
        <v>1151</v>
      </c>
      <c r="H284" s="2" t="s">
        <v>1272</v>
      </c>
      <c r="I284" s="2" t="s">
        <v>1393</v>
      </c>
    </row>
    <row r="285" spans="1:9" x14ac:dyDescent="0.3">
      <c r="A285" s="2" t="s">
        <v>14</v>
      </c>
      <c r="D285" s="2" t="s">
        <v>538</v>
      </c>
      <c r="F285" s="2" t="s">
        <v>412</v>
      </c>
      <c r="G285" s="2" t="s">
        <v>1152</v>
      </c>
      <c r="H285" s="2" t="s">
        <v>1273</v>
      </c>
      <c r="I285" s="2" t="s">
        <v>1394</v>
      </c>
    </row>
    <row r="286" spans="1:9" x14ac:dyDescent="0.3">
      <c r="A286" s="2" t="s">
        <v>14</v>
      </c>
      <c r="D286" s="2" t="s">
        <v>540</v>
      </c>
      <c r="F286" s="2" t="s">
        <v>414</v>
      </c>
      <c r="G286" s="2" t="s">
        <v>1153</v>
      </c>
      <c r="H286" s="2" t="s">
        <v>1274</v>
      </c>
      <c r="I286" s="2" t="s">
        <v>1395</v>
      </c>
    </row>
    <row r="287" spans="1:9" x14ac:dyDescent="0.3">
      <c r="A287" s="2" t="s">
        <v>14</v>
      </c>
      <c r="D287" s="2" t="s">
        <v>542</v>
      </c>
      <c r="F287" s="2" t="s">
        <v>416</v>
      </c>
      <c r="G287" s="2" t="s">
        <v>1154</v>
      </c>
      <c r="H287" s="2" t="s">
        <v>1275</v>
      </c>
      <c r="I287" s="2" t="s">
        <v>1396</v>
      </c>
    </row>
    <row r="288" spans="1:9" x14ac:dyDescent="0.3">
      <c r="A288" s="2" t="s">
        <v>14</v>
      </c>
      <c r="D288" s="2" t="s">
        <v>544</v>
      </c>
      <c r="F288" s="2" t="s">
        <v>418</v>
      </c>
      <c r="G288" s="2" t="s">
        <v>1155</v>
      </c>
      <c r="H288" s="2" t="s">
        <v>1276</v>
      </c>
      <c r="I288" s="2" t="s">
        <v>1397</v>
      </c>
    </row>
    <row r="289" spans="1:9" x14ac:dyDescent="0.3">
      <c r="A289" s="2" t="s">
        <v>14</v>
      </c>
      <c r="D289" s="2" t="s">
        <v>546</v>
      </c>
      <c r="F289" s="2" t="s">
        <v>420</v>
      </c>
      <c r="G289" s="2" t="s">
        <v>1156</v>
      </c>
      <c r="H289" s="2" t="s">
        <v>1277</v>
      </c>
      <c r="I289" s="2" t="s">
        <v>1398</v>
      </c>
    </row>
    <row r="290" spans="1:9" x14ac:dyDescent="0.3">
      <c r="A290" s="2" t="s">
        <v>14</v>
      </c>
      <c r="D290" s="2" t="s">
        <v>548</v>
      </c>
      <c r="F290" s="2" t="s">
        <v>422</v>
      </c>
      <c r="G290" s="2" t="s">
        <v>1157</v>
      </c>
      <c r="H290" s="2" t="s">
        <v>1278</v>
      </c>
      <c r="I290" s="2" t="s">
        <v>1399</v>
      </c>
    </row>
    <row r="291" spans="1:9" x14ac:dyDescent="0.3">
      <c r="A291" s="2" t="s">
        <v>14</v>
      </c>
      <c r="D291" s="2" t="s">
        <v>550</v>
      </c>
      <c r="F291" s="2" t="s">
        <v>424</v>
      </c>
      <c r="G291" s="2" t="s">
        <v>1158</v>
      </c>
      <c r="H291" s="2" t="s">
        <v>1279</v>
      </c>
      <c r="I291" s="2" t="s">
        <v>1400</v>
      </c>
    </row>
    <row r="292" spans="1:9" x14ac:dyDescent="0.3">
      <c r="A292" s="2" t="s">
        <v>14</v>
      </c>
      <c r="D292" s="2" t="s">
        <v>552</v>
      </c>
      <c r="F292" s="2" t="s">
        <v>426</v>
      </c>
      <c r="G292" s="2" t="s">
        <v>1159</v>
      </c>
      <c r="H292" s="2" t="s">
        <v>1280</v>
      </c>
      <c r="I292" s="2" t="s">
        <v>1401</v>
      </c>
    </row>
    <row r="293" spans="1:9" x14ac:dyDescent="0.3">
      <c r="A293" s="2" t="s">
        <v>14</v>
      </c>
      <c r="D293" s="2" t="s">
        <v>554</v>
      </c>
      <c r="F293" s="2" t="s">
        <v>428</v>
      </c>
      <c r="G293" s="2" t="s">
        <v>1160</v>
      </c>
      <c r="H293" s="2" t="s">
        <v>1281</v>
      </c>
      <c r="I293" s="2" t="s">
        <v>1402</v>
      </c>
    </row>
    <row r="294" spans="1:9" x14ac:dyDescent="0.3">
      <c r="A294" s="2" t="s">
        <v>14</v>
      </c>
      <c r="D294" s="2" t="s">
        <v>556</v>
      </c>
      <c r="F294" s="2" t="s">
        <v>430</v>
      </c>
      <c r="G294" s="2" t="s">
        <v>1161</v>
      </c>
      <c r="H294" s="2" t="s">
        <v>1282</v>
      </c>
      <c r="I294" s="2" t="s">
        <v>1403</v>
      </c>
    </row>
    <row r="295" spans="1:9" x14ac:dyDescent="0.3">
      <c r="A295" s="2" t="s">
        <v>14</v>
      </c>
      <c r="D295" s="2" t="s">
        <v>558</v>
      </c>
      <c r="F295" s="2" t="s">
        <v>432</v>
      </c>
      <c r="G295" s="2" t="s">
        <v>1162</v>
      </c>
      <c r="H295" s="2" t="s">
        <v>1283</v>
      </c>
      <c r="I295" s="2" t="s">
        <v>1404</v>
      </c>
    </row>
    <row r="296" spans="1:9" x14ac:dyDescent="0.3">
      <c r="A296" s="2" t="s">
        <v>14</v>
      </c>
      <c r="D296" s="2" t="s">
        <v>560</v>
      </c>
      <c r="F296" s="2" t="s">
        <v>434</v>
      </c>
      <c r="G296" s="2" t="s">
        <v>1163</v>
      </c>
      <c r="H296" s="2" t="s">
        <v>1284</v>
      </c>
      <c r="I296" s="2" t="s">
        <v>1405</v>
      </c>
    </row>
    <row r="297" spans="1:9" x14ac:dyDescent="0.3">
      <c r="A297" s="2" t="s">
        <v>14</v>
      </c>
      <c r="D297" s="2" t="s">
        <v>2661</v>
      </c>
      <c r="F297" s="2" t="s">
        <v>436</v>
      </c>
      <c r="G297" s="2" t="s">
        <v>2758</v>
      </c>
      <c r="H297" s="2" t="s">
        <v>2760</v>
      </c>
      <c r="I297" s="2" t="s">
        <v>2762</v>
      </c>
    </row>
    <row r="298" spans="1:9" x14ac:dyDescent="0.3">
      <c r="A298" s="2" t="s">
        <v>14</v>
      </c>
      <c r="D298" s="2" t="s">
        <v>2662</v>
      </c>
      <c r="F298" s="2" t="s">
        <v>439</v>
      </c>
      <c r="G298" s="2" t="s">
        <v>2759</v>
      </c>
      <c r="H298" s="2" t="s">
        <v>2761</v>
      </c>
      <c r="I298" s="2" t="s">
        <v>2763</v>
      </c>
    </row>
    <row r="299" spans="1:9" x14ac:dyDescent="0.3">
      <c r="A299" s="2" t="s">
        <v>14</v>
      </c>
      <c r="D299" s="2" t="s">
        <v>564</v>
      </c>
      <c r="F299" s="2" t="s">
        <v>441</v>
      </c>
      <c r="G299" s="2" t="s">
        <v>1164</v>
      </c>
      <c r="H299" s="2" t="s">
        <v>1285</v>
      </c>
      <c r="I299" s="2" t="s">
        <v>1406</v>
      </c>
    </row>
    <row r="300" spans="1:9" x14ac:dyDescent="0.3">
      <c r="A300" s="2" t="s">
        <v>14</v>
      </c>
      <c r="D300" s="2" t="s">
        <v>566</v>
      </c>
      <c r="F300" s="2" t="s">
        <v>443</v>
      </c>
      <c r="G300" s="2" t="s">
        <v>1165</v>
      </c>
      <c r="H300" s="2" t="s">
        <v>1286</v>
      </c>
      <c r="I300" s="2" t="s">
        <v>1407</v>
      </c>
    </row>
    <row r="301" spans="1:9" x14ac:dyDescent="0.3">
      <c r="A301" s="2" t="s">
        <v>14</v>
      </c>
      <c r="D301" s="2" t="s">
        <v>568</v>
      </c>
      <c r="F301" s="2" t="s">
        <v>445</v>
      </c>
      <c r="G301" s="2" t="s">
        <v>1166</v>
      </c>
      <c r="H301" s="2" t="s">
        <v>1287</v>
      </c>
      <c r="I301" s="2" t="s">
        <v>1408</v>
      </c>
    </row>
    <row r="302" spans="1:9" x14ac:dyDescent="0.3">
      <c r="A302" s="2" t="s">
        <v>14</v>
      </c>
      <c r="D302" s="2" t="s">
        <v>570</v>
      </c>
      <c r="F302" s="2" t="s">
        <v>447</v>
      </c>
      <c r="G302" s="2" t="s">
        <v>1167</v>
      </c>
      <c r="H302" s="2" t="s">
        <v>1288</v>
      </c>
      <c r="I302" s="2" t="s">
        <v>1409</v>
      </c>
    </row>
    <row r="303" spans="1:9" x14ac:dyDescent="0.3">
      <c r="A303" s="2" t="s">
        <v>14</v>
      </c>
      <c r="D303" s="2" t="s">
        <v>572</v>
      </c>
      <c r="F303" s="2" t="s">
        <v>449</v>
      </c>
      <c r="G303" s="2" t="s">
        <v>1168</v>
      </c>
      <c r="H303" s="2" t="s">
        <v>1289</v>
      </c>
      <c r="I303" s="2" t="s">
        <v>1410</v>
      </c>
    </row>
    <row r="304" spans="1:9" x14ac:dyDescent="0.3">
      <c r="A304" s="2" t="s">
        <v>14</v>
      </c>
      <c r="D304" s="2" t="s">
        <v>520</v>
      </c>
    </row>
    <row r="305" spans="1:9" x14ac:dyDescent="0.3">
      <c r="A305" s="2" t="s">
        <v>14</v>
      </c>
      <c r="D305" s="2" t="s">
        <v>2663</v>
      </c>
      <c r="E305" s="2" t="s">
        <v>450</v>
      </c>
      <c r="G305" s="2" t="s">
        <v>3</v>
      </c>
      <c r="H305" s="2" t="s">
        <v>4</v>
      </c>
      <c r="I305" s="2" t="s">
        <v>5</v>
      </c>
    </row>
    <row r="306" spans="1:9" x14ac:dyDescent="0.3">
      <c r="A306" s="2" t="s">
        <v>14</v>
      </c>
      <c r="D306" s="2" t="s">
        <v>576</v>
      </c>
      <c r="F306" s="2" t="s">
        <v>2664</v>
      </c>
      <c r="G306" s="2" t="s">
        <v>1169</v>
      </c>
      <c r="H306" s="2" t="s">
        <v>1290</v>
      </c>
      <c r="I306" s="2" t="s">
        <v>1411</v>
      </c>
    </row>
    <row r="307" spans="1:9" x14ac:dyDescent="0.3">
      <c r="A307" s="2" t="s">
        <v>14</v>
      </c>
      <c r="D307" s="2" t="s">
        <v>578</v>
      </c>
      <c r="F307" s="2" t="s">
        <v>453</v>
      </c>
      <c r="G307" s="2" t="s">
        <v>1170</v>
      </c>
      <c r="H307" s="2" t="s">
        <v>1291</v>
      </c>
      <c r="I307" s="2" t="s">
        <v>1412</v>
      </c>
    </row>
    <row r="308" spans="1:9" x14ac:dyDescent="0.3">
      <c r="A308" s="2" t="s">
        <v>14</v>
      </c>
      <c r="D308" s="2" t="s">
        <v>580</v>
      </c>
      <c r="F308" s="2" t="s">
        <v>455</v>
      </c>
      <c r="G308" s="2" t="s">
        <v>1171</v>
      </c>
      <c r="H308" s="2" t="s">
        <v>1292</v>
      </c>
      <c r="I308" s="2" t="s">
        <v>1413</v>
      </c>
    </row>
    <row r="309" spans="1:9" x14ac:dyDescent="0.3">
      <c r="A309" s="2" t="s">
        <v>14</v>
      </c>
      <c r="D309" s="2" t="s">
        <v>582</v>
      </c>
      <c r="F309" s="2" t="s">
        <v>457</v>
      </c>
      <c r="G309" s="2" t="s">
        <v>1172</v>
      </c>
      <c r="H309" s="2" t="s">
        <v>1293</v>
      </c>
      <c r="I309" s="2" t="s">
        <v>1414</v>
      </c>
    </row>
    <row r="310" spans="1:9" x14ac:dyDescent="0.3">
      <c r="A310" s="2" t="s">
        <v>14</v>
      </c>
      <c r="D310" s="2" t="s">
        <v>584</v>
      </c>
      <c r="F310" s="2" t="s">
        <v>459</v>
      </c>
      <c r="G310" s="2" t="s">
        <v>1173</v>
      </c>
      <c r="H310" s="2" t="s">
        <v>1294</v>
      </c>
      <c r="I310" s="2" t="s">
        <v>1415</v>
      </c>
    </row>
    <row r="311" spans="1:9" x14ac:dyDescent="0.3">
      <c r="A311" s="2" t="s">
        <v>14</v>
      </c>
      <c r="D311" s="2" t="s">
        <v>586</v>
      </c>
      <c r="F311" s="2" t="s">
        <v>461</v>
      </c>
      <c r="G311" s="2" t="s">
        <v>1174</v>
      </c>
      <c r="H311" s="2" t="s">
        <v>1295</v>
      </c>
      <c r="I311" s="2" t="s">
        <v>1416</v>
      </c>
    </row>
    <row r="312" spans="1:9" x14ac:dyDescent="0.3">
      <c r="A312" s="2" t="s">
        <v>14</v>
      </c>
      <c r="D312" s="2" t="s">
        <v>588</v>
      </c>
      <c r="F312" s="2" t="s">
        <v>463</v>
      </c>
      <c r="G312" s="2" t="s">
        <v>1175</v>
      </c>
      <c r="H312" s="2" t="s">
        <v>1296</v>
      </c>
      <c r="I312" s="2" t="s">
        <v>1417</v>
      </c>
    </row>
    <row r="313" spans="1:9" x14ac:dyDescent="0.3">
      <c r="A313" s="2" t="s">
        <v>14</v>
      </c>
      <c r="D313" s="2" t="s">
        <v>590</v>
      </c>
      <c r="F313" s="2" t="s">
        <v>465</v>
      </c>
      <c r="G313" s="2" t="s">
        <v>1176</v>
      </c>
      <c r="H313" s="2" t="s">
        <v>1297</v>
      </c>
      <c r="I313" s="2" t="s">
        <v>1418</v>
      </c>
    </row>
    <row r="314" spans="1:9" x14ac:dyDescent="0.3">
      <c r="A314" s="2" t="s">
        <v>14</v>
      </c>
      <c r="D314" s="2" t="s">
        <v>592</v>
      </c>
      <c r="F314" s="2" t="s">
        <v>467</v>
      </c>
      <c r="G314" s="2" t="s">
        <v>1177</v>
      </c>
      <c r="H314" s="2" t="s">
        <v>1298</v>
      </c>
      <c r="I314" s="2" t="s">
        <v>1419</v>
      </c>
    </row>
    <row r="315" spans="1:9" x14ac:dyDescent="0.3">
      <c r="A315" s="2" t="s">
        <v>14</v>
      </c>
      <c r="D315" s="2" t="s">
        <v>594</v>
      </c>
      <c r="F315" s="2" t="s">
        <v>469</v>
      </c>
      <c r="G315" s="2" t="s">
        <v>1178</v>
      </c>
      <c r="H315" s="2" t="s">
        <v>1299</v>
      </c>
      <c r="I315" s="2" t="s">
        <v>1420</v>
      </c>
    </row>
    <row r="316" spans="1:9" x14ac:dyDescent="0.3">
      <c r="A316" s="2" t="s">
        <v>14</v>
      </c>
      <c r="D316" s="2" t="s">
        <v>596</v>
      </c>
      <c r="F316" s="2" t="s">
        <v>471</v>
      </c>
      <c r="G316" s="2" t="s">
        <v>1179</v>
      </c>
      <c r="H316" s="2" t="s">
        <v>1300</v>
      </c>
      <c r="I316" s="2" t="s">
        <v>1421</v>
      </c>
    </row>
    <row r="317" spans="1:9" x14ac:dyDescent="0.3">
      <c r="A317" s="2" t="s">
        <v>14</v>
      </c>
      <c r="D317" s="2" t="s">
        <v>598</v>
      </c>
      <c r="F317" s="2" t="s">
        <v>473</v>
      </c>
      <c r="G317" s="2" t="s">
        <v>1180</v>
      </c>
      <c r="H317" s="2" t="s">
        <v>1301</v>
      </c>
      <c r="I317" s="2" t="s">
        <v>1422</v>
      </c>
    </row>
    <row r="318" spans="1:9" x14ac:dyDescent="0.3">
      <c r="A318" s="2" t="s">
        <v>14</v>
      </c>
      <c r="D318" s="2" t="s">
        <v>600</v>
      </c>
      <c r="F318" s="2" t="s">
        <v>475</v>
      </c>
      <c r="G318" s="2" t="s">
        <v>1181</v>
      </c>
      <c r="H318" s="2" t="s">
        <v>1302</v>
      </c>
      <c r="I318" s="2" t="s">
        <v>1423</v>
      </c>
    </row>
    <row r="319" spans="1:9" x14ac:dyDescent="0.3">
      <c r="A319" s="2" t="s">
        <v>14</v>
      </c>
      <c r="D319" s="2" t="s">
        <v>602</v>
      </c>
      <c r="F319" s="2" t="s">
        <v>477</v>
      </c>
      <c r="G319" s="2" t="s">
        <v>1182</v>
      </c>
      <c r="H319" s="2" t="s">
        <v>1303</v>
      </c>
      <c r="I319" s="2" t="s">
        <v>1424</v>
      </c>
    </row>
    <row r="320" spans="1:9" x14ac:dyDescent="0.3">
      <c r="A320" s="2" t="s">
        <v>14</v>
      </c>
      <c r="D320" s="2" t="s">
        <v>604</v>
      </c>
      <c r="F320" s="2" t="s">
        <v>479</v>
      </c>
      <c r="G320" s="2" t="s">
        <v>1183</v>
      </c>
      <c r="H320" s="2" t="s">
        <v>1304</v>
      </c>
      <c r="I320" s="2" t="s">
        <v>1425</v>
      </c>
    </row>
    <row r="321" spans="1:9" x14ac:dyDescent="0.3">
      <c r="A321" s="2" t="s">
        <v>14</v>
      </c>
      <c r="D321" s="2" t="s">
        <v>606</v>
      </c>
      <c r="F321" s="2" t="s">
        <v>481</v>
      </c>
      <c r="G321" s="2" t="s">
        <v>1184</v>
      </c>
      <c r="H321" s="2" t="s">
        <v>1305</v>
      </c>
      <c r="I321" s="2" t="s">
        <v>1426</v>
      </c>
    </row>
    <row r="322" spans="1:9" x14ac:dyDescent="0.3">
      <c r="A322" s="2" t="s">
        <v>14</v>
      </c>
      <c r="D322" s="2" t="s">
        <v>608</v>
      </c>
      <c r="F322" s="2" t="s">
        <v>483</v>
      </c>
      <c r="G322" s="2" t="s">
        <v>1185</v>
      </c>
      <c r="H322" s="2" t="s">
        <v>1306</v>
      </c>
      <c r="I322" s="2" t="s">
        <v>1427</v>
      </c>
    </row>
    <row r="323" spans="1:9" x14ac:dyDescent="0.3">
      <c r="A323" s="2" t="s">
        <v>14</v>
      </c>
      <c r="D323" s="2" t="s">
        <v>610</v>
      </c>
      <c r="F323" s="2" t="s">
        <v>485</v>
      </c>
      <c r="G323" s="2" t="s">
        <v>1186</v>
      </c>
      <c r="H323" s="2" t="s">
        <v>1307</v>
      </c>
      <c r="I323" s="2" t="s">
        <v>1428</v>
      </c>
    </row>
    <row r="324" spans="1:9" x14ac:dyDescent="0.3">
      <c r="A324" s="2" t="s">
        <v>14</v>
      </c>
      <c r="D324" s="2" t="s">
        <v>612</v>
      </c>
      <c r="F324" s="2" t="s">
        <v>491</v>
      </c>
      <c r="G324" s="2" t="s">
        <v>1187</v>
      </c>
      <c r="H324" s="2" t="s">
        <v>1308</v>
      </c>
      <c r="I324" s="2" t="s">
        <v>1429</v>
      </c>
    </row>
    <row r="325" spans="1:9" x14ac:dyDescent="0.3">
      <c r="A325" s="2" t="s">
        <v>14</v>
      </c>
      <c r="D325" s="2" t="s">
        <v>614</v>
      </c>
      <c r="F325" s="2" t="s">
        <v>493</v>
      </c>
      <c r="G325" s="2" t="s">
        <v>1188</v>
      </c>
      <c r="H325" s="2" t="s">
        <v>1309</v>
      </c>
      <c r="I325" s="2" t="s">
        <v>1430</v>
      </c>
    </row>
    <row r="326" spans="1:9" x14ac:dyDescent="0.3">
      <c r="A326" s="2" t="s">
        <v>14</v>
      </c>
      <c r="D326" s="2" t="s">
        <v>616</v>
      </c>
      <c r="F326" s="2" t="s">
        <v>495</v>
      </c>
      <c r="G326" s="2" t="s">
        <v>1189</v>
      </c>
      <c r="H326" s="2" t="s">
        <v>1310</v>
      </c>
      <c r="I326" s="2" t="s">
        <v>1431</v>
      </c>
    </row>
    <row r="327" spans="1:9" x14ac:dyDescent="0.3">
      <c r="A327" s="2" t="s">
        <v>14</v>
      </c>
      <c r="D327" s="2" t="s">
        <v>2665</v>
      </c>
      <c r="F327" s="2" t="s">
        <v>497</v>
      </c>
      <c r="G327" s="2" t="s">
        <v>2752</v>
      </c>
      <c r="H327" s="2" t="s">
        <v>2754</v>
      </c>
      <c r="I327" s="2" t="s">
        <v>2756</v>
      </c>
    </row>
    <row r="328" spans="1:9" x14ac:dyDescent="0.3">
      <c r="A328" s="2" t="s">
        <v>14</v>
      </c>
      <c r="D328" s="2" t="s">
        <v>2666</v>
      </c>
      <c r="F328" s="2" t="s">
        <v>487</v>
      </c>
      <c r="G328" s="2" t="s">
        <v>2753</v>
      </c>
      <c r="H328" s="2" t="s">
        <v>2755</v>
      </c>
      <c r="I328" s="2" t="s">
        <v>2757</v>
      </c>
    </row>
    <row r="329" spans="1:9" x14ac:dyDescent="0.3">
      <c r="A329" s="2" t="s">
        <v>14</v>
      </c>
      <c r="D329" s="2" t="s">
        <v>620</v>
      </c>
      <c r="F329" s="2" t="s">
        <v>489</v>
      </c>
      <c r="G329" s="2" t="s">
        <v>1190</v>
      </c>
      <c r="H329" s="2" t="s">
        <v>1311</v>
      </c>
      <c r="I329" s="2" t="s">
        <v>1432</v>
      </c>
    </row>
    <row r="330" spans="1:9" x14ac:dyDescent="0.3">
      <c r="A330" s="2" t="s">
        <v>14</v>
      </c>
      <c r="D330" s="2" t="s">
        <v>622</v>
      </c>
      <c r="F330" s="2" t="s">
        <v>499</v>
      </c>
      <c r="G330" s="2" t="s">
        <v>1191</v>
      </c>
      <c r="H330" s="2" t="s">
        <v>1312</v>
      </c>
      <c r="I330" s="2" t="s">
        <v>1433</v>
      </c>
    </row>
    <row r="331" spans="1:9" x14ac:dyDescent="0.3">
      <c r="A331" s="2" t="s">
        <v>14</v>
      </c>
      <c r="D331" s="2" t="s">
        <v>624</v>
      </c>
      <c r="F331" s="2" t="s">
        <v>501</v>
      </c>
      <c r="G331" s="2" t="s">
        <v>1192</v>
      </c>
      <c r="H331" s="2" t="s">
        <v>1313</v>
      </c>
      <c r="I331" s="2" t="s">
        <v>1434</v>
      </c>
    </row>
    <row r="332" spans="1:9" x14ac:dyDescent="0.3">
      <c r="A332" s="2" t="s">
        <v>14</v>
      </c>
      <c r="D332" s="2" t="s">
        <v>626</v>
      </c>
      <c r="F332" s="2" t="s">
        <v>503</v>
      </c>
      <c r="G332" s="2" t="s">
        <v>1193</v>
      </c>
      <c r="H332" s="2" t="s">
        <v>1314</v>
      </c>
      <c r="I332" s="2" t="s">
        <v>1435</v>
      </c>
    </row>
    <row r="333" spans="1:9" x14ac:dyDescent="0.3">
      <c r="A333" s="2" t="s">
        <v>14</v>
      </c>
      <c r="D333" s="2" t="s">
        <v>628</v>
      </c>
      <c r="F333" s="2" t="s">
        <v>505</v>
      </c>
      <c r="G333" s="2" t="s">
        <v>1194</v>
      </c>
      <c r="H333" s="2" t="s">
        <v>1315</v>
      </c>
      <c r="I333" s="2" t="s">
        <v>1436</v>
      </c>
    </row>
    <row r="334" spans="1:9" x14ac:dyDescent="0.3">
      <c r="A334" s="2" t="s">
        <v>14</v>
      </c>
      <c r="D334" s="2" t="s">
        <v>578</v>
      </c>
    </row>
    <row r="335" spans="1:9" x14ac:dyDescent="0.3">
      <c r="A335" s="2" t="s">
        <v>14</v>
      </c>
      <c r="D335" s="2" t="s">
        <v>2667</v>
      </c>
      <c r="E335" s="2" t="s">
        <v>506</v>
      </c>
      <c r="G335" s="2" t="s">
        <v>3</v>
      </c>
      <c r="H335" s="2" t="s">
        <v>4</v>
      </c>
      <c r="I335" s="2" t="s">
        <v>5</v>
      </c>
    </row>
    <row r="336" spans="1:9" x14ac:dyDescent="0.3">
      <c r="A336" s="2" t="s">
        <v>14</v>
      </c>
      <c r="D336" s="2" t="s">
        <v>632</v>
      </c>
      <c r="F336" s="2" t="s">
        <v>2668</v>
      </c>
      <c r="G336" s="2" t="s">
        <v>1195</v>
      </c>
      <c r="H336" s="2" t="s">
        <v>1316</v>
      </c>
      <c r="I336" s="2" t="s">
        <v>1437</v>
      </c>
    </row>
    <row r="337" spans="1:9" x14ac:dyDescent="0.3">
      <c r="A337" s="2" t="s">
        <v>14</v>
      </c>
      <c r="D337" s="2" t="s">
        <v>634</v>
      </c>
      <c r="F337" s="2" t="s">
        <v>509</v>
      </c>
      <c r="G337" s="2" t="s">
        <v>1196</v>
      </c>
      <c r="H337" s="2" t="s">
        <v>1317</v>
      </c>
      <c r="I337" s="2" t="s">
        <v>1438</v>
      </c>
    </row>
    <row r="338" spans="1:9" x14ac:dyDescent="0.3">
      <c r="A338" s="2" t="s">
        <v>14</v>
      </c>
      <c r="D338" s="2" t="s">
        <v>636</v>
      </c>
      <c r="F338" s="2" t="s">
        <v>511</v>
      </c>
      <c r="G338" s="2" t="s">
        <v>1197</v>
      </c>
      <c r="H338" s="2" t="s">
        <v>1318</v>
      </c>
      <c r="I338" s="2" t="s">
        <v>1439</v>
      </c>
    </row>
    <row r="339" spans="1:9" x14ac:dyDescent="0.3">
      <c r="A339" s="2" t="s">
        <v>14</v>
      </c>
      <c r="D339" s="2" t="s">
        <v>638</v>
      </c>
      <c r="F339" s="2" t="s">
        <v>513</v>
      </c>
      <c r="G339" s="2" t="s">
        <v>1198</v>
      </c>
      <c r="H339" s="2" t="s">
        <v>1319</v>
      </c>
      <c r="I339" s="2" t="s">
        <v>1440</v>
      </c>
    </row>
    <row r="340" spans="1:9" x14ac:dyDescent="0.3">
      <c r="A340" s="2" t="s">
        <v>14</v>
      </c>
      <c r="D340" s="2" t="s">
        <v>640</v>
      </c>
      <c r="F340" s="2" t="s">
        <v>515</v>
      </c>
      <c r="G340" s="2" t="s">
        <v>1199</v>
      </c>
      <c r="H340" s="2" t="s">
        <v>1320</v>
      </c>
      <c r="I340" s="2" t="s">
        <v>1441</v>
      </c>
    </row>
    <row r="341" spans="1:9" x14ac:dyDescent="0.3">
      <c r="A341" s="2" t="s">
        <v>14</v>
      </c>
      <c r="D341" s="2" t="s">
        <v>642</v>
      </c>
      <c r="F341" s="2" t="s">
        <v>516</v>
      </c>
      <c r="G341" s="2" t="s">
        <v>1200</v>
      </c>
      <c r="H341" s="2" t="s">
        <v>1321</v>
      </c>
      <c r="I341" s="2" t="s">
        <v>1442</v>
      </c>
    </row>
    <row r="342" spans="1:9" x14ac:dyDescent="0.3">
      <c r="A342" s="2" t="s">
        <v>14</v>
      </c>
      <c r="D342" s="2" t="s">
        <v>644</v>
      </c>
      <c r="F342" s="2" t="s">
        <v>517</v>
      </c>
      <c r="G342" s="2" t="s">
        <v>1201</v>
      </c>
      <c r="H342" s="2" t="s">
        <v>1322</v>
      </c>
      <c r="I342" s="2" t="s">
        <v>1443</v>
      </c>
    </row>
    <row r="343" spans="1:9" x14ac:dyDescent="0.3">
      <c r="A343" s="2" t="s">
        <v>14</v>
      </c>
      <c r="D343" s="2" t="s">
        <v>646</v>
      </c>
      <c r="F343" s="2" t="s">
        <v>519</v>
      </c>
      <c r="G343" s="2" t="s">
        <v>1202</v>
      </c>
      <c r="H343" s="2" t="s">
        <v>1323</v>
      </c>
      <c r="I343" s="2" t="s">
        <v>1444</v>
      </c>
    </row>
    <row r="344" spans="1:9" x14ac:dyDescent="0.3">
      <c r="A344" s="2" t="s">
        <v>14</v>
      </c>
      <c r="D344" s="2" t="s">
        <v>648</v>
      </c>
      <c r="F344" s="2" t="s">
        <v>521</v>
      </c>
      <c r="G344" s="2" t="s">
        <v>1203</v>
      </c>
      <c r="H344" s="2" t="s">
        <v>1324</v>
      </c>
      <c r="I344" s="2" t="s">
        <v>1445</v>
      </c>
    </row>
    <row r="345" spans="1:9" x14ac:dyDescent="0.3">
      <c r="A345" s="2" t="s">
        <v>14</v>
      </c>
      <c r="D345" s="2" t="s">
        <v>650</v>
      </c>
      <c r="F345" s="2" t="s">
        <v>523</v>
      </c>
      <c r="G345" s="2" t="s">
        <v>1204</v>
      </c>
      <c r="H345" s="2" t="s">
        <v>1325</v>
      </c>
      <c r="I345" s="2" t="s">
        <v>1446</v>
      </c>
    </row>
    <row r="346" spans="1:9" x14ac:dyDescent="0.3">
      <c r="A346" s="2" t="s">
        <v>14</v>
      </c>
      <c r="D346" s="2" t="s">
        <v>652</v>
      </c>
      <c r="F346" s="2" t="s">
        <v>525</v>
      </c>
      <c r="G346" s="2" t="s">
        <v>1205</v>
      </c>
      <c r="H346" s="2" t="s">
        <v>1326</v>
      </c>
      <c r="I346" s="2" t="s">
        <v>1447</v>
      </c>
    </row>
    <row r="347" spans="1:9" x14ac:dyDescent="0.3">
      <c r="A347" s="2" t="s">
        <v>14</v>
      </c>
      <c r="D347" s="2" t="s">
        <v>654</v>
      </c>
      <c r="F347" s="2" t="s">
        <v>527</v>
      </c>
      <c r="G347" s="2" t="s">
        <v>1206</v>
      </c>
      <c r="H347" s="2" t="s">
        <v>1327</v>
      </c>
      <c r="I347" s="2" t="s">
        <v>1448</v>
      </c>
    </row>
    <row r="348" spans="1:9" x14ac:dyDescent="0.3">
      <c r="A348" s="2" t="s">
        <v>14</v>
      </c>
      <c r="D348" s="2" t="s">
        <v>656</v>
      </c>
      <c r="F348" s="2" t="s">
        <v>529</v>
      </c>
      <c r="G348" s="2" t="s">
        <v>1207</v>
      </c>
      <c r="H348" s="2" t="s">
        <v>1328</v>
      </c>
      <c r="I348" s="2" t="s">
        <v>1449</v>
      </c>
    </row>
    <row r="349" spans="1:9" x14ac:dyDescent="0.3">
      <c r="A349" s="2" t="s">
        <v>14</v>
      </c>
      <c r="D349" s="2" t="s">
        <v>658</v>
      </c>
      <c r="F349" s="2" t="s">
        <v>531</v>
      </c>
      <c r="G349" s="2" t="s">
        <v>1208</v>
      </c>
      <c r="H349" s="2" t="s">
        <v>1329</v>
      </c>
      <c r="I349" s="2" t="s">
        <v>1450</v>
      </c>
    </row>
    <row r="350" spans="1:9" x14ac:dyDescent="0.3">
      <c r="A350" s="2" t="s">
        <v>14</v>
      </c>
      <c r="D350" s="2" t="s">
        <v>660</v>
      </c>
      <c r="F350" s="2" t="s">
        <v>533</v>
      </c>
      <c r="G350" s="2" t="s">
        <v>1209</v>
      </c>
      <c r="H350" s="2" t="s">
        <v>1330</v>
      </c>
      <c r="I350" s="2" t="s">
        <v>1451</v>
      </c>
    </row>
    <row r="351" spans="1:9" x14ac:dyDescent="0.3">
      <c r="A351" s="2" t="s">
        <v>14</v>
      </c>
      <c r="D351" s="2" t="s">
        <v>662</v>
      </c>
      <c r="F351" s="2" t="s">
        <v>535</v>
      </c>
      <c r="G351" s="2" t="s">
        <v>1210</v>
      </c>
      <c r="H351" s="2" t="s">
        <v>1331</v>
      </c>
      <c r="I351" s="2" t="s">
        <v>1452</v>
      </c>
    </row>
    <row r="352" spans="1:9" x14ac:dyDescent="0.3">
      <c r="A352" s="2" t="s">
        <v>14</v>
      </c>
      <c r="D352" s="2" t="s">
        <v>664</v>
      </c>
      <c r="F352" s="2" t="s">
        <v>537</v>
      </c>
      <c r="G352" s="2" t="s">
        <v>1211</v>
      </c>
      <c r="H352" s="2" t="s">
        <v>1332</v>
      </c>
      <c r="I352" s="2" t="s">
        <v>1453</v>
      </c>
    </row>
    <row r="353" spans="1:9" x14ac:dyDescent="0.3">
      <c r="A353" s="2" t="s">
        <v>14</v>
      </c>
      <c r="D353" s="2" t="s">
        <v>666</v>
      </c>
      <c r="F353" s="2" t="s">
        <v>539</v>
      </c>
      <c r="G353" s="2" t="s">
        <v>1212</v>
      </c>
      <c r="H353" s="2" t="s">
        <v>1333</v>
      </c>
      <c r="I353" s="2" t="s">
        <v>1454</v>
      </c>
    </row>
    <row r="354" spans="1:9" x14ac:dyDescent="0.3">
      <c r="A354" s="2" t="s">
        <v>14</v>
      </c>
      <c r="D354" s="2" t="s">
        <v>668</v>
      </c>
      <c r="F354" s="2" t="s">
        <v>541</v>
      </c>
      <c r="G354" s="2" t="s">
        <v>1213</v>
      </c>
      <c r="H354" s="2" t="s">
        <v>1334</v>
      </c>
      <c r="I354" s="2" t="s">
        <v>1455</v>
      </c>
    </row>
    <row r="355" spans="1:9" x14ac:dyDescent="0.3">
      <c r="A355" s="2" t="s">
        <v>14</v>
      </c>
      <c r="D355" s="2" t="s">
        <v>670</v>
      </c>
      <c r="F355" s="2" t="s">
        <v>543</v>
      </c>
      <c r="G355" s="2" t="s">
        <v>1214</v>
      </c>
      <c r="H355" s="2" t="s">
        <v>1335</v>
      </c>
      <c r="I355" s="2" t="s">
        <v>1456</v>
      </c>
    </row>
    <row r="356" spans="1:9" x14ac:dyDescent="0.3">
      <c r="A356" s="2" t="s">
        <v>14</v>
      </c>
      <c r="D356" s="2" t="s">
        <v>672</v>
      </c>
      <c r="F356" s="2" t="s">
        <v>545</v>
      </c>
      <c r="G356" s="2" t="s">
        <v>1215</v>
      </c>
      <c r="H356" s="2" t="s">
        <v>1336</v>
      </c>
      <c r="I356" s="2" t="s">
        <v>1457</v>
      </c>
    </row>
    <row r="357" spans="1:9" x14ac:dyDescent="0.3">
      <c r="A357" s="2" t="s">
        <v>14</v>
      </c>
      <c r="D357" s="2" t="s">
        <v>673</v>
      </c>
      <c r="F357" s="2" t="s">
        <v>547</v>
      </c>
      <c r="G357" s="2" t="s">
        <v>1216</v>
      </c>
      <c r="H357" s="2" t="s">
        <v>1337</v>
      </c>
      <c r="I357" s="2" t="s">
        <v>1458</v>
      </c>
    </row>
    <row r="358" spans="1:9" x14ac:dyDescent="0.3">
      <c r="A358" s="2" t="s">
        <v>14</v>
      </c>
      <c r="D358" s="2" t="s">
        <v>674</v>
      </c>
      <c r="F358" s="2" t="s">
        <v>549</v>
      </c>
      <c r="G358" s="2" t="s">
        <v>1217</v>
      </c>
      <c r="H358" s="2" t="s">
        <v>1338</v>
      </c>
      <c r="I358" s="2" t="s">
        <v>1459</v>
      </c>
    </row>
    <row r="359" spans="1:9" x14ac:dyDescent="0.3">
      <c r="A359" s="2" t="s">
        <v>14</v>
      </c>
      <c r="D359" s="2" t="s">
        <v>676</v>
      </c>
      <c r="F359" s="2" t="s">
        <v>551</v>
      </c>
      <c r="G359" s="2" t="s">
        <v>1218</v>
      </c>
      <c r="H359" s="2" t="s">
        <v>1339</v>
      </c>
      <c r="I359" s="2" t="s">
        <v>1460</v>
      </c>
    </row>
    <row r="360" spans="1:9" x14ac:dyDescent="0.3">
      <c r="A360" s="2" t="s">
        <v>14</v>
      </c>
      <c r="D360" s="2" t="s">
        <v>678</v>
      </c>
      <c r="F360" s="2" t="s">
        <v>553</v>
      </c>
      <c r="G360" s="2" t="s">
        <v>1219</v>
      </c>
      <c r="H360" s="2" t="s">
        <v>1340</v>
      </c>
      <c r="I360" s="2" t="s">
        <v>1461</v>
      </c>
    </row>
    <row r="361" spans="1:9" x14ac:dyDescent="0.3">
      <c r="A361" s="2" t="s">
        <v>14</v>
      </c>
      <c r="D361" s="2" t="s">
        <v>680</v>
      </c>
      <c r="F361" s="2" t="s">
        <v>555</v>
      </c>
      <c r="G361" s="2" t="s">
        <v>1220</v>
      </c>
      <c r="H361" s="2" t="s">
        <v>1341</v>
      </c>
      <c r="I361" s="2" t="s">
        <v>1462</v>
      </c>
    </row>
    <row r="362" spans="1:9" x14ac:dyDescent="0.3">
      <c r="A362" s="2" t="s">
        <v>14</v>
      </c>
      <c r="D362" s="2" t="s">
        <v>682</v>
      </c>
      <c r="F362" s="2" t="s">
        <v>557</v>
      </c>
      <c r="G362" s="2" t="s">
        <v>1221</v>
      </c>
      <c r="H362" s="2" t="s">
        <v>1342</v>
      </c>
      <c r="I362" s="2" t="s">
        <v>1463</v>
      </c>
    </row>
    <row r="363" spans="1:9" x14ac:dyDescent="0.3">
      <c r="A363" s="2" t="s">
        <v>14</v>
      </c>
      <c r="D363" s="2" t="s">
        <v>684</v>
      </c>
      <c r="F363" s="2" t="s">
        <v>559</v>
      </c>
      <c r="G363" s="2" t="s">
        <v>1222</v>
      </c>
      <c r="H363" s="2" t="s">
        <v>1343</v>
      </c>
      <c r="I363" s="2" t="s">
        <v>1464</v>
      </c>
    </row>
    <row r="364" spans="1:9" x14ac:dyDescent="0.3">
      <c r="A364" s="2" t="s">
        <v>14</v>
      </c>
      <c r="D364" s="2" t="s">
        <v>686</v>
      </c>
      <c r="F364" s="2" t="s">
        <v>561</v>
      </c>
      <c r="G364" s="2" t="s">
        <v>1223</v>
      </c>
      <c r="H364" s="2" t="s">
        <v>1344</v>
      </c>
      <c r="I364" s="2" t="s">
        <v>1465</v>
      </c>
    </row>
    <row r="365" spans="1:9" x14ac:dyDescent="0.3">
      <c r="A365" s="2" t="s">
        <v>14</v>
      </c>
      <c r="D365" s="2" t="s">
        <v>688</v>
      </c>
      <c r="F365" s="2" t="s">
        <v>562</v>
      </c>
      <c r="G365" s="2" t="s">
        <v>1224</v>
      </c>
      <c r="H365" s="2" t="s">
        <v>1345</v>
      </c>
      <c r="I365" s="2" t="s">
        <v>1466</v>
      </c>
    </row>
    <row r="366" spans="1:9" x14ac:dyDescent="0.3">
      <c r="A366" s="2" t="s">
        <v>14</v>
      </c>
      <c r="D366" s="2" t="s">
        <v>690</v>
      </c>
      <c r="F366" s="2" t="s">
        <v>563</v>
      </c>
      <c r="G366" s="2" t="s">
        <v>1225</v>
      </c>
      <c r="H366" s="2" t="s">
        <v>1346</v>
      </c>
      <c r="I366" s="2" t="s">
        <v>1467</v>
      </c>
    </row>
    <row r="367" spans="1:9" x14ac:dyDescent="0.3">
      <c r="A367" s="2" t="s">
        <v>14</v>
      </c>
      <c r="D367" s="2" t="s">
        <v>692</v>
      </c>
      <c r="F367" s="2" t="s">
        <v>565</v>
      </c>
      <c r="G367" s="2" t="s">
        <v>1226</v>
      </c>
      <c r="H367" s="2" t="s">
        <v>1347</v>
      </c>
      <c r="I367" s="2" t="s">
        <v>1468</v>
      </c>
    </row>
    <row r="368" spans="1:9" x14ac:dyDescent="0.3">
      <c r="A368" s="2" t="s">
        <v>14</v>
      </c>
      <c r="D368" s="2" t="s">
        <v>694</v>
      </c>
      <c r="F368" s="2" t="s">
        <v>567</v>
      </c>
      <c r="G368" s="2" t="s">
        <v>1227</v>
      </c>
      <c r="H368" s="2" t="s">
        <v>1348</v>
      </c>
      <c r="I368" s="2" t="s">
        <v>1469</v>
      </c>
    </row>
    <row r="369" spans="1:9" x14ac:dyDescent="0.3">
      <c r="A369" s="2" t="s">
        <v>14</v>
      </c>
      <c r="D369" s="2" t="s">
        <v>696</v>
      </c>
      <c r="F369" s="2" t="s">
        <v>569</v>
      </c>
      <c r="G369" s="2" t="s">
        <v>1228</v>
      </c>
      <c r="H369" s="2" t="s">
        <v>1349</v>
      </c>
      <c r="I369" s="2" t="s">
        <v>1470</v>
      </c>
    </row>
    <row r="370" spans="1:9" x14ac:dyDescent="0.3">
      <c r="A370" s="2" t="s">
        <v>14</v>
      </c>
      <c r="D370" s="2" t="s">
        <v>698</v>
      </c>
      <c r="F370" s="2" t="s">
        <v>571</v>
      </c>
      <c r="G370" s="2" t="s">
        <v>1229</v>
      </c>
      <c r="H370" s="2" t="s">
        <v>1350</v>
      </c>
      <c r="I370" s="2" t="s">
        <v>1471</v>
      </c>
    </row>
    <row r="371" spans="1:9" x14ac:dyDescent="0.3">
      <c r="A371" s="2" t="s">
        <v>14</v>
      </c>
      <c r="D371" s="2" t="s">
        <v>700</v>
      </c>
      <c r="F371" s="2" t="s">
        <v>573</v>
      </c>
      <c r="G371" s="2" t="s">
        <v>1230</v>
      </c>
      <c r="H371" s="2" t="s">
        <v>1351</v>
      </c>
      <c r="I371" s="2" t="s">
        <v>1472</v>
      </c>
    </row>
    <row r="372" spans="1:9" x14ac:dyDescent="0.3">
      <c r="A372" s="2" t="s">
        <v>14</v>
      </c>
      <c r="D372" s="2" t="s">
        <v>702</v>
      </c>
      <c r="F372" s="2" t="s">
        <v>574</v>
      </c>
      <c r="G372" s="2" t="s">
        <v>1231</v>
      </c>
      <c r="H372" s="2" t="s">
        <v>1352</v>
      </c>
      <c r="I372" s="2" t="s">
        <v>1473</v>
      </c>
    </row>
    <row r="373" spans="1:9" x14ac:dyDescent="0.3">
      <c r="A373" s="2" t="s">
        <v>14</v>
      </c>
      <c r="D373" s="2" t="s">
        <v>704</v>
      </c>
      <c r="F373" s="2" t="s">
        <v>575</v>
      </c>
      <c r="G373" s="2" t="s">
        <v>1232</v>
      </c>
      <c r="H373" s="2" t="s">
        <v>1353</v>
      </c>
      <c r="I373" s="2" t="s">
        <v>1474</v>
      </c>
    </row>
    <row r="374" spans="1:9" x14ac:dyDescent="0.3">
      <c r="A374" s="2" t="s">
        <v>14</v>
      </c>
      <c r="D374" s="2" t="s">
        <v>706</v>
      </c>
      <c r="F374" s="2" t="s">
        <v>577</v>
      </c>
      <c r="G374" s="2" t="s">
        <v>1233</v>
      </c>
      <c r="H374" s="2" t="s">
        <v>1354</v>
      </c>
      <c r="I374" s="2" t="s">
        <v>1475</v>
      </c>
    </row>
    <row r="375" spans="1:9" x14ac:dyDescent="0.3">
      <c r="A375" s="2" t="s">
        <v>14</v>
      </c>
      <c r="D375" s="2" t="s">
        <v>708</v>
      </c>
      <c r="F375" s="2" t="s">
        <v>579</v>
      </c>
      <c r="G375" s="2" t="s">
        <v>1234</v>
      </c>
      <c r="H375" s="2" t="s">
        <v>1355</v>
      </c>
      <c r="I375" s="2" t="s">
        <v>1476</v>
      </c>
    </row>
    <row r="376" spans="1:9" x14ac:dyDescent="0.3">
      <c r="A376" s="2" t="s">
        <v>14</v>
      </c>
      <c r="D376" s="2" t="s">
        <v>710</v>
      </c>
      <c r="F376" s="2" t="s">
        <v>581</v>
      </c>
      <c r="G376" s="2" t="s">
        <v>1235</v>
      </c>
      <c r="H376" s="2" t="s">
        <v>1356</v>
      </c>
      <c r="I376" s="2" t="s">
        <v>1477</v>
      </c>
    </row>
    <row r="377" spans="1:9" x14ac:dyDescent="0.3">
      <c r="A377" s="2" t="s">
        <v>14</v>
      </c>
      <c r="D377" s="2" t="s">
        <v>712</v>
      </c>
      <c r="F377" s="2" t="s">
        <v>583</v>
      </c>
      <c r="G377" s="2" t="s">
        <v>1236</v>
      </c>
      <c r="H377" s="2" t="s">
        <v>1357</v>
      </c>
      <c r="I377" s="2" t="s">
        <v>1478</v>
      </c>
    </row>
    <row r="378" spans="1:9" x14ac:dyDescent="0.3">
      <c r="A378" s="2" t="s">
        <v>14</v>
      </c>
      <c r="D378" s="2" t="s">
        <v>714</v>
      </c>
      <c r="F378" s="2" t="s">
        <v>585</v>
      </c>
      <c r="G378" s="2" t="s">
        <v>1237</v>
      </c>
      <c r="H378" s="2" t="s">
        <v>1358</v>
      </c>
      <c r="I378" s="2" t="s">
        <v>1479</v>
      </c>
    </row>
    <row r="379" spans="1:9" x14ac:dyDescent="0.3">
      <c r="A379" s="2" t="s">
        <v>14</v>
      </c>
      <c r="D379" s="2" t="s">
        <v>716</v>
      </c>
      <c r="F379" s="2" t="s">
        <v>587</v>
      </c>
      <c r="G379" s="2" t="s">
        <v>1238</v>
      </c>
      <c r="H379" s="2" t="s">
        <v>1359</v>
      </c>
      <c r="I379" s="2" t="s">
        <v>1480</v>
      </c>
    </row>
    <row r="380" spans="1:9" x14ac:dyDescent="0.3">
      <c r="A380" s="2" t="s">
        <v>14</v>
      </c>
      <c r="D380" s="2" t="s">
        <v>718</v>
      </c>
      <c r="F380" s="2" t="s">
        <v>589</v>
      </c>
      <c r="G380" s="2" t="s">
        <v>1239</v>
      </c>
      <c r="H380" s="2" t="s">
        <v>1360</v>
      </c>
      <c r="I380" s="2" t="s">
        <v>1481</v>
      </c>
    </row>
    <row r="381" spans="1:9" x14ac:dyDescent="0.3">
      <c r="A381" s="2" t="s">
        <v>14</v>
      </c>
      <c r="D381" s="2" t="s">
        <v>720</v>
      </c>
      <c r="F381" s="2" t="s">
        <v>591</v>
      </c>
      <c r="G381" s="2" t="s">
        <v>1240</v>
      </c>
      <c r="H381" s="2" t="s">
        <v>1361</v>
      </c>
      <c r="I381" s="2" t="s">
        <v>1482</v>
      </c>
    </row>
    <row r="382" spans="1:9" x14ac:dyDescent="0.3">
      <c r="A382" s="2" t="s">
        <v>14</v>
      </c>
      <c r="D382" s="2" t="s">
        <v>722</v>
      </c>
      <c r="F382" s="2" t="s">
        <v>593</v>
      </c>
      <c r="G382" s="2" t="s">
        <v>1241</v>
      </c>
      <c r="H382" s="2" t="s">
        <v>1362</v>
      </c>
      <c r="I382" s="2" t="s">
        <v>1483</v>
      </c>
    </row>
    <row r="383" spans="1:9" x14ac:dyDescent="0.3">
      <c r="A383" s="2" t="s">
        <v>14</v>
      </c>
      <c r="D383" s="2" t="s">
        <v>724</v>
      </c>
      <c r="F383" s="2" t="s">
        <v>595</v>
      </c>
      <c r="G383" s="2" t="s">
        <v>1242</v>
      </c>
      <c r="H383" s="2" t="s">
        <v>1363</v>
      </c>
      <c r="I383" s="2" t="s">
        <v>1484</v>
      </c>
    </row>
    <row r="384" spans="1:9" x14ac:dyDescent="0.3">
      <c r="A384" s="2" t="s">
        <v>14</v>
      </c>
      <c r="D384" s="2" t="s">
        <v>726</v>
      </c>
      <c r="F384" s="2" t="s">
        <v>597</v>
      </c>
      <c r="G384" s="2" t="s">
        <v>1243</v>
      </c>
      <c r="H384" s="2" t="s">
        <v>1364</v>
      </c>
      <c r="I384" s="2" t="s">
        <v>1485</v>
      </c>
    </row>
    <row r="385" spans="1:9" x14ac:dyDescent="0.3">
      <c r="A385" s="2" t="s">
        <v>14</v>
      </c>
      <c r="D385" s="2" t="s">
        <v>728</v>
      </c>
      <c r="F385" s="2" t="s">
        <v>599</v>
      </c>
      <c r="G385" s="2" t="s">
        <v>1244</v>
      </c>
      <c r="H385" s="2" t="s">
        <v>1365</v>
      </c>
      <c r="I385" s="2" t="s">
        <v>1486</v>
      </c>
    </row>
    <row r="386" spans="1:9" x14ac:dyDescent="0.3">
      <c r="A386" s="2" t="s">
        <v>14</v>
      </c>
      <c r="D386" s="2" t="s">
        <v>730</v>
      </c>
      <c r="F386" s="2" t="s">
        <v>601</v>
      </c>
      <c r="G386" s="2" t="s">
        <v>1245</v>
      </c>
      <c r="H386" s="2" t="s">
        <v>1366</v>
      </c>
      <c r="I386" s="2" t="s">
        <v>1487</v>
      </c>
    </row>
    <row r="387" spans="1:9" x14ac:dyDescent="0.3">
      <c r="A387" s="2" t="s">
        <v>14</v>
      </c>
      <c r="D387" s="2" t="s">
        <v>732</v>
      </c>
      <c r="F387" s="2" t="s">
        <v>603</v>
      </c>
      <c r="G387" s="2" t="s">
        <v>1246</v>
      </c>
      <c r="H387" s="2" t="s">
        <v>1367</v>
      </c>
      <c r="I387" s="2" t="s">
        <v>1488</v>
      </c>
    </row>
    <row r="388" spans="1:9" x14ac:dyDescent="0.3">
      <c r="A388" s="2" t="s">
        <v>14</v>
      </c>
      <c r="D388" s="2" t="s">
        <v>734</v>
      </c>
      <c r="F388" s="2" t="s">
        <v>605</v>
      </c>
      <c r="G388" s="2" t="s">
        <v>1247</v>
      </c>
      <c r="H388" s="2" t="s">
        <v>1368</v>
      </c>
      <c r="I388" s="2" t="s">
        <v>1489</v>
      </c>
    </row>
    <row r="389" spans="1:9" x14ac:dyDescent="0.3">
      <c r="A389" s="2" t="s">
        <v>14</v>
      </c>
      <c r="D389" s="2" t="s">
        <v>736</v>
      </c>
      <c r="F389" s="2" t="s">
        <v>607</v>
      </c>
      <c r="G389" s="2" t="s">
        <v>1248</v>
      </c>
      <c r="H389" s="2" t="s">
        <v>1369</v>
      </c>
      <c r="I389" s="2" t="s">
        <v>1490</v>
      </c>
    </row>
    <row r="390" spans="1:9" x14ac:dyDescent="0.3">
      <c r="A390" s="2" t="s">
        <v>14</v>
      </c>
      <c r="D390" s="2" t="s">
        <v>738</v>
      </c>
      <c r="F390" s="2" t="s">
        <v>609</v>
      </c>
      <c r="G390" s="2" t="s">
        <v>1249</v>
      </c>
      <c r="H390" s="2" t="s">
        <v>1370</v>
      </c>
      <c r="I390" s="2" t="s">
        <v>1491</v>
      </c>
    </row>
    <row r="391" spans="1:9" x14ac:dyDescent="0.3">
      <c r="A391" s="2" t="s">
        <v>14</v>
      </c>
      <c r="D391" s="2" t="s">
        <v>740</v>
      </c>
      <c r="F391" s="2" t="s">
        <v>611</v>
      </c>
      <c r="G391" s="2" t="s">
        <v>1250</v>
      </c>
      <c r="H391" s="2" t="s">
        <v>1371</v>
      </c>
      <c r="I391" s="2" t="s">
        <v>1492</v>
      </c>
    </row>
    <row r="392" spans="1:9" x14ac:dyDescent="0.3">
      <c r="A392" s="2" t="s">
        <v>14</v>
      </c>
      <c r="D392" s="2" t="s">
        <v>742</v>
      </c>
      <c r="F392" s="2" t="s">
        <v>613</v>
      </c>
      <c r="G392" s="2" t="s">
        <v>1251</v>
      </c>
      <c r="H392" s="2" t="s">
        <v>1372</v>
      </c>
      <c r="I392" s="2" t="s">
        <v>1493</v>
      </c>
    </row>
    <row r="393" spans="1:9" x14ac:dyDescent="0.3">
      <c r="A393" s="2" t="s">
        <v>14</v>
      </c>
      <c r="D393" s="2" t="s">
        <v>744</v>
      </c>
      <c r="F393" s="2" t="s">
        <v>615</v>
      </c>
      <c r="G393" s="2" t="s">
        <v>1252</v>
      </c>
      <c r="H393" s="2" t="s">
        <v>1373</v>
      </c>
      <c r="I393" s="2" t="s">
        <v>1494</v>
      </c>
    </row>
    <row r="394" spans="1:9" x14ac:dyDescent="0.3">
      <c r="A394" s="2" t="s">
        <v>14</v>
      </c>
      <c r="D394" s="2" t="s">
        <v>746</v>
      </c>
      <c r="F394" s="2" t="s">
        <v>617</v>
      </c>
      <c r="G394" s="2" t="s">
        <v>1253</v>
      </c>
      <c r="H394" s="2" t="s">
        <v>1374</v>
      </c>
      <c r="I394" s="2" t="s">
        <v>1495</v>
      </c>
    </row>
    <row r="395" spans="1:9" x14ac:dyDescent="0.3">
      <c r="A395" s="2" t="s">
        <v>14</v>
      </c>
      <c r="D395" s="2" t="s">
        <v>748</v>
      </c>
      <c r="F395" s="2" t="s">
        <v>618</v>
      </c>
      <c r="G395" s="2" t="s">
        <v>1254</v>
      </c>
      <c r="H395" s="2" t="s">
        <v>1375</v>
      </c>
      <c r="I395" s="2" t="s">
        <v>1496</v>
      </c>
    </row>
    <row r="396" spans="1:9" x14ac:dyDescent="0.3">
      <c r="A396" s="2" t="s">
        <v>14</v>
      </c>
      <c r="D396" s="2" t="s">
        <v>750</v>
      </c>
      <c r="F396" s="2" t="s">
        <v>619</v>
      </c>
      <c r="G396" s="2" t="s">
        <v>1255</v>
      </c>
      <c r="H396" s="2" t="s">
        <v>1376</v>
      </c>
      <c r="I396" s="2" t="s">
        <v>1497</v>
      </c>
    </row>
    <row r="397" spans="1:9" x14ac:dyDescent="0.3">
      <c r="A397" s="2" t="s">
        <v>14</v>
      </c>
      <c r="D397" s="2" t="s">
        <v>752</v>
      </c>
      <c r="F397" s="2" t="s">
        <v>621</v>
      </c>
      <c r="G397" s="2" t="s">
        <v>1256</v>
      </c>
      <c r="H397" s="2" t="s">
        <v>1377</v>
      </c>
      <c r="I397" s="2" t="s">
        <v>1498</v>
      </c>
    </row>
    <row r="398" spans="1:9" x14ac:dyDescent="0.3">
      <c r="A398" s="2" t="s">
        <v>14</v>
      </c>
      <c r="D398" s="2" t="s">
        <v>754</v>
      </c>
      <c r="F398" s="2" t="s">
        <v>623</v>
      </c>
      <c r="G398" s="2" t="s">
        <v>1257</v>
      </c>
      <c r="H398" s="2" t="s">
        <v>1378</v>
      </c>
      <c r="I398" s="2" t="s">
        <v>1499</v>
      </c>
    </row>
    <row r="399" spans="1:9" x14ac:dyDescent="0.3">
      <c r="A399" s="2" t="s">
        <v>14</v>
      </c>
      <c r="D399" s="2" t="s">
        <v>2160</v>
      </c>
      <c r="F399" s="2" t="s">
        <v>625</v>
      </c>
      <c r="G399" s="2" t="s">
        <v>2454</v>
      </c>
      <c r="H399" s="2" t="s">
        <v>2508</v>
      </c>
      <c r="I399" s="2" t="s">
        <v>2562</v>
      </c>
    </row>
    <row r="400" spans="1:9" x14ac:dyDescent="0.3">
      <c r="A400" s="2" t="s">
        <v>14</v>
      </c>
      <c r="D400" s="2" t="s">
        <v>2161</v>
      </c>
      <c r="F400" s="2" t="s">
        <v>627</v>
      </c>
      <c r="G400" s="2" t="s">
        <v>2455</v>
      </c>
      <c r="H400" s="2" t="s">
        <v>2509</v>
      </c>
      <c r="I400" s="2" t="s">
        <v>2563</v>
      </c>
    </row>
    <row r="401" spans="1:9" x14ac:dyDescent="0.3">
      <c r="A401" s="2" t="s">
        <v>14</v>
      </c>
      <c r="D401" s="2" t="s">
        <v>757</v>
      </c>
      <c r="F401" s="2" t="s">
        <v>629</v>
      </c>
      <c r="G401" s="2" t="s">
        <v>1044</v>
      </c>
      <c r="H401" s="2" t="s">
        <v>1075</v>
      </c>
      <c r="I401" s="2" t="s">
        <v>1106</v>
      </c>
    </row>
    <row r="402" spans="1:9" x14ac:dyDescent="0.3">
      <c r="A402" s="2" t="s">
        <v>14</v>
      </c>
      <c r="D402" s="2" t="s">
        <v>758</v>
      </c>
      <c r="F402" s="2" t="s">
        <v>630</v>
      </c>
      <c r="G402" s="2" t="s">
        <v>1045</v>
      </c>
      <c r="H402" s="2" t="s">
        <v>1076</v>
      </c>
      <c r="I402" s="2" t="s">
        <v>1107</v>
      </c>
    </row>
    <row r="403" spans="1:9" x14ac:dyDescent="0.3">
      <c r="A403" s="2" t="s">
        <v>14</v>
      </c>
      <c r="D403" s="2" t="s">
        <v>759</v>
      </c>
      <c r="F403" s="2" t="s">
        <v>631</v>
      </c>
      <c r="G403" s="2" t="s">
        <v>1046</v>
      </c>
      <c r="H403" s="2" t="s">
        <v>1077</v>
      </c>
      <c r="I403" s="2" t="s">
        <v>1108</v>
      </c>
    </row>
    <row r="404" spans="1:9" x14ac:dyDescent="0.3">
      <c r="A404" s="2" t="s">
        <v>14</v>
      </c>
      <c r="D404" s="2" t="s">
        <v>761</v>
      </c>
      <c r="F404" s="2" t="s">
        <v>633</v>
      </c>
      <c r="G404" s="2" t="s">
        <v>1047</v>
      </c>
      <c r="H404" s="2" t="s">
        <v>1078</v>
      </c>
      <c r="I404" s="2" t="s">
        <v>1109</v>
      </c>
    </row>
    <row r="405" spans="1:9" x14ac:dyDescent="0.3">
      <c r="A405" s="2" t="s">
        <v>14</v>
      </c>
      <c r="D405" s="2" t="s">
        <v>763</v>
      </c>
      <c r="F405" s="2" t="s">
        <v>635</v>
      </c>
      <c r="G405" s="2" t="s">
        <v>1048</v>
      </c>
      <c r="H405" s="2" t="s">
        <v>1079</v>
      </c>
      <c r="I405" s="2" t="s">
        <v>1110</v>
      </c>
    </row>
    <row r="406" spans="1:9" x14ac:dyDescent="0.3">
      <c r="A406" s="2" t="s">
        <v>14</v>
      </c>
      <c r="D406" s="2" t="s">
        <v>765</v>
      </c>
      <c r="F406" s="2" t="s">
        <v>639</v>
      </c>
      <c r="G406" s="2" t="s">
        <v>1049</v>
      </c>
      <c r="H406" s="2" t="s">
        <v>1080</v>
      </c>
      <c r="I406" s="2" t="s">
        <v>1111</v>
      </c>
    </row>
    <row r="407" spans="1:9" x14ac:dyDescent="0.3">
      <c r="A407" s="2" t="s">
        <v>14</v>
      </c>
      <c r="D407" s="2" t="s">
        <v>767</v>
      </c>
      <c r="F407" s="2" t="s">
        <v>641</v>
      </c>
      <c r="G407" s="2" t="s">
        <v>1050</v>
      </c>
      <c r="H407" s="2" t="s">
        <v>1081</v>
      </c>
      <c r="I407" s="2" t="s">
        <v>1112</v>
      </c>
    </row>
    <row r="408" spans="1:9" x14ac:dyDescent="0.3">
      <c r="A408" s="2" t="s">
        <v>14</v>
      </c>
      <c r="D408" s="2" t="s">
        <v>769</v>
      </c>
      <c r="F408" s="2" t="s">
        <v>643</v>
      </c>
      <c r="G408" s="2" t="s">
        <v>1051</v>
      </c>
      <c r="H408" s="2" t="s">
        <v>1082</v>
      </c>
      <c r="I408" s="2" t="s">
        <v>1113</v>
      </c>
    </row>
    <row r="409" spans="1:9" x14ac:dyDescent="0.3">
      <c r="A409" s="2" t="s">
        <v>14</v>
      </c>
      <c r="D409" s="2" t="s">
        <v>771</v>
      </c>
      <c r="F409" s="2" t="s">
        <v>645</v>
      </c>
      <c r="G409" s="2" t="s">
        <v>1052</v>
      </c>
      <c r="H409" s="2" t="s">
        <v>1083</v>
      </c>
      <c r="I409" s="2" t="s">
        <v>1114</v>
      </c>
    </row>
    <row r="410" spans="1:9" x14ac:dyDescent="0.3">
      <c r="A410" s="2" t="s">
        <v>14</v>
      </c>
      <c r="D410" s="2" t="s">
        <v>773</v>
      </c>
      <c r="F410" s="2" t="s">
        <v>647</v>
      </c>
      <c r="G410" s="2" t="s">
        <v>1053</v>
      </c>
      <c r="H410" s="2" t="s">
        <v>1084</v>
      </c>
      <c r="I410" s="2" t="s">
        <v>1115</v>
      </c>
    </row>
    <row r="411" spans="1:9" x14ac:dyDescent="0.3">
      <c r="A411" s="2" t="s">
        <v>14</v>
      </c>
      <c r="D411" s="2" t="s">
        <v>775</v>
      </c>
      <c r="F411" s="2" t="s">
        <v>637</v>
      </c>
      <c r="G411" s="2" t="s">
        <v>1054</v>
      </c>
      <c r="H411" s="2" t="s">
        <v>1085</v>
      </c>
      <c r="I411" s="2" t="s">
        <v>1116</v>
      </c>
    </row>
    <row r="412" spans="1:9" x14ac:dyDescent="0.3">
      <c r="A412" s="2" t="s">
        <v>14</v>
      </c>
      <c r="D412" s="2" t="s">
        <v>777</v>
      </c>
      <c r="F412" s="2" t="s">
        <v>649</v>
      </c>
      <c r="G412" s="2" t="s">
        <v>1055</v>
      </c>
      <c r="H412" s="2" t="s">
        <v>1086</v>
      </c>
      <c r="I412" s="2" t="s">
        <v>1117</v>
      </c>
    </row>
    <row r="413" spans="1:9" x14ac:dyDescent="0.3">
      <c r="A413" s="2" t="s">
        <v>14</v>
      </c>
      <c r="D413" s="2" t="s">
        <v>779</v>
      </c>
      <c r="F413" s="2" t="s">
        <v>651</v>
      </c>
      <c r="G413" s="2" t="s">
        <v>1056</v>
      </c>
      <c r="H413" s="2" t="s">
        <v>1087</v>
      </c>
      <c r="I413" s="2" t="s">
        <v>1118</v>
      </c>
    </row>
    <row r="414" spans="1:9" x14ac:dyDescent="0.3">
      <c r="A414" s="2" t="s">
        <v>14</v>
      </c>
      <c r="D414" s="2" t="s">
        <v>781</v>
      </c>
      <c r="F414" s="2" t="s">
        <v>653</v>
      </c>
      <c r="G414" s="2" t="s">
        <v>1057</v>
      </c>
      <c r="H414" s="2" t="s">
        <v>1088</v>
      </c>
      <c r="I414" s="2" t="s">
        <v>1119</v>
      </c>
    </row>
    <row r="415" spans="1:9" x14ac:dyDescent="0.3">
      <c r="A415" s="2" t="s">
        <v>14</v>
      </c>
      <c r="D415" s="2" t="s">
        <v>783</v>
      </c>
      <c r="F415" s="2" t="s">
        <v>655</v>
      </c>
      <c r="G415" s="2" t="s">
        <v>1058</v>
      </c>
      <c r="H415" s="2" t="s">
        <v>1089</v>
      </c>
      <c r="I415" s="2" t="s">
        <v>1120</v>
      </c>
    </row>
    <row r="416" spans="1:9" x14ac:dyDescent="0.3">
      <c r="A416" s="2" t="s">
        <v>14</v>
      </c>
      <c r="D416" s="2" t="s">
        <v>785</v>
      </c>
      <c r="F416" s="2" t="s">
        <v>657</v>
      </c>
      <c r="G416" s="2" t="s">
        <v>1059</v>
      </c>
      <c r="H416" s="2" t="s">
        <v>1090</v>
      </c>
      <c r="I416" s="2" t="s">
        <v>1121</v>
      </c>
    </row>
    <row r="417" spans="1:9" x14ac:dyDescent="0.3">
      <c r="A417" s="2" t="s">
        <v>14</v>
      </c>
      <c r="D417" s="2" t="s">
        <v>787</v>
      </c>
      <c r="F417" s="2" t="s">
        <v>659</v>
      </c>
      <c r="G417" s="2" t="s">
        <v>1060</v>
      </c>
      <c r="H417" s="2" t="s">
        <v>1091</v>
      </c>
      <c r="I417" s="2" t="s">
        <v>1122</v>
      </c>
    </row>
    <row r="418" spans="1:9" x14ac:dyDescent="0.3">
      <c r="A418" s="2" t="s">
        <v>14</v>
      </c>
      <c r="D418" s="2" t="s">
        <v>789</v>
      </c>
      <c r="F418" s="2" t="s">
        <v>661</v>
      </c>
      <c r="G418" s="2" t="s">
        <v>1061</v>
      </c>
      <c r="H418" s="2" t="s">
        <v>1092</v>
      </c>
      <c r="I418" s="2" t="s">
        <v>1123</v>
      </c>
    </row>
    <row r="419" spans="1:9" x14ac:dyDescent="0.3">
      <c r="A419" s="2" t="s">
        <v>14</v>
      </c>
      <c r="D419" s="2" t="s">
        <v>791</v>
      </c>
      <c r="F419" s="2" t="s">
        <v>663</v>
      </c>
      <c r="G419" s="2" t="s">
        <v>1062</v>
      </c>
      <c r="H419" s="2" t="s">
        <v>1093</v>
      </c>
      <c r="I419" s="2" t="s">
        <v>1124</v>
      </c>
    </row>
    <row r="420" spans="1:9" x14ac:dyDescent="0.3">
      <c r="A420" s="2" t="s">
        <v>14</v>
      </c>
      <c r="D420" s="2" t="s">
        <v>793</v>
      </c>
      <c r="F420" s="2" t="s">
        <v>665</v>
      </c>
      <c r="G420" s="2" t="s">
        <v>1063</v>
      </c>
      <c r="H420" s="2" t="s">
        <v>1094</v>
      </c>
      <c r="I420" s="2" t="s">
        <v>1125</v>
      </c>
    </row>
    <row r="421" spans="1:9" x14ac:dyDescent="0.3">
      <c r="A421" s="2" t="s">
        <v>14</v>
      </c>
      <c r="D421" s="2" t="s">
        <v>795</v>
      </c>
      <c r="F421" s="2" t="s">
        <v>667</v>
      </c>
      <c r="G421" s="2" t="s">
        <v>1064</v>
      </c>
      <c r="H421" s="2" t="s">
        <v>1095</v>
      </c>
      <c r="I421" s="2" t="s">
        <v>1126</v>
      </c>
    </row>
    <row r="422" spans="1:9" x14ac:dyDescent="0.3">
      <c r="A422" s="2" t="s">
        <v>14</v>
      </c>
      <c r="D422" s="2" t="s">
        <v>797</v>
      </c>
      <c r="F422" s="2" t="s">
        <v>669</v>
      </c>
      <c r="G422" s="2" t="s">
        <v>1065</v>
      </c>
      <c r="H422" s="2" t="s">
        <v>1096</v>
      </c>
      <c r="I422" s="2" t="s">
        <v>1127</v>
      </c>
    </row>
    <row r="423" spans="1:9" x14ac:dyDescent="0.3">
      <c r="A423" s="2" t="s">
        <v>14</v>
      </c>
      <c r="D423" s="2" t="s">
        <v>799</v>
      </c>
      <c r="F423" s="2" t="s">
        <v>671</v>
      </c>
      <c r="G423" s="2" t="s">
        <v>1066</v>
      </c>
      <c r="H423" s="2" t="s">
        <v>1097</v>
      </c>
      <c r="I423" s="2" t="s">
        <v>1128</v>
      </c>
    </row>
    <row r="424" spans="1:9" x14ac:dyDescent="0.3">
      <c r="A424" s="2" t="s">
        <v>14</v>
      </c>
      <c r="D424" s="2" t="s">
        <v>801</v>
      </c>
      <c r="F424" s="2" t="s">
        <v>2162</v>
      </c>
      <c r="G424" s="2" t="s">
        <v>1067</v>
      </c>
      <c r="H424" s="2" t="s">
        <v>1098</v>
      </c>
      <c r="I424" s="2" t="s">
        <v>1129</v>
      </c>
    </row>
    <row r="425" spans="1:9" x14ac:dyDescent="0.3">
      <c r="A425" s="2" t="s">
        <v>14</v>
      </c>
      <c r="D425" s="2" t="s">
        <v>803</v>
      </c>
      <c r="F425" s="2" t="s">
        <v>2163</v>
      </c>
      <c r="G425" s="2" t="s">
        <v>1068</v>
      </c>
      <c r="H425" s="2" t="s">
        <v>1099</v>
      </c>
      <c r="I425" s="2" t="s">
        <v>1130</v>
      </c>
    </row>
    <row r="426" spans="1:9" x14ac:dyDescent="0.3">
      <c r="A426" s="2" t="s">
        <v>14</v>
      </c>
      <c r="D426" s="2" t="s">
        <v>805</v>
      </c>
      <c r="F426" s="2" t="s">
        <v>2164</v>
      </c>
      <c r="G426" s="2" t="s">
        <v>1069</v>
      </c>
      <c r="H426" s="2" t="s">
        <v>1100</v>
      </c>
      <c r="I426" s="2" t="s">
        <v>1131</v>
      </c>
    </row>
    <row r="427" spans="1:9" x14ac:dyDescent="0.3">
      <c r="A427" s="2" t="s">
        <v>14</v>
      </c>
      <c r="D427" s="2" t="s">
        <v>807</v>
      </c>
      <c r="F427" s="2" t="s">
        <v>675</v>
      </c>
      <c r="G427" s="2" t="s">
        <v>1070</v>
      </c>
      <c r="H427" s="2" t="s">
        <v>1101</v>
      </c>
      <c r="I427" s="2" t="s">
        <v>1132</v>
      </c>
    </row>
    <row r="428" spans="1:9" x14ac:dyDescent="0.3">
      <c r="A428" s="2" t="s">
        <v>14</v>
      </c>
      <c r="D428" s="2" t="s">
        <v>809</v>
      </c>
      <c r="F428" s="2" t="s">
        <v>677</v>
      </c>
      <c r="G428" s="2" t="s">
        <v>1071</v>
      </c>
      <c r="H428" s="2" t="s">
        <v>1102</v>
      </c>
      <c r="I428" s="2" t="s">
        <v>1133</v>
      </c>
    </row>
    <row r="429" spans="1:9" x14ac:dyDescent="0.3">
      <c r="A429" s="2" t="s">
        <v>14</v>
      </c>
      <c r="D429" s="2" t="s">
        <v>811</v>
      </c>
      <c r="F429" s="2" t="s">
        <v>679</v>
      </c>
      <c r="G429" s="2" t="s">
        <v>1072</v>
      </c>
      <c r="H429" s="2" t="s">
        <v>1103</v>
      </c>
      <c r="I429" s="2" t="s">
        <v>1134</v>
      </c>
    </row>
    <row r="430" spans="1:9" x14ac:dyDescent="0.3">
      <c r="A430" s="2" t="s">
        <v>14</v>
      </c>
      <c r="D430" s="2" t="s">
        <v>813</v>
      </c>
      <c r="F430" s="2" t="s">
        <v>681</v>
      </c>
      <c r="G430" s="2" t="s">
        <v>1073</v>
      </c>
      <c r="H430" s="2" t="s">
        <v>1104</v>
      </c>
      <c r="I430" s="2" t="s">
        <v>1135</v>
      </c>
    </row>
    <row r="431" spans="1:9" x14ac:dyDescent="0.3">
      <c r="A431" s="2" t="s">
        <v>14</v>
      </c>
      <c r="D431" s="2" t="s">
        <v>815</v>
      </c>
      <c r="F431" s="2" t="s">
        <v>2165</v>
      </c>
      <c r="G431" s="2" t="s">
        <v>1074</v>
      </c>
      <c r="H431" s="2" t="s">
        <v>1105</v>
      </c>
      <c r="I431" s="2" t="s">
        <v>1136</v>
      </c>
    </row>
    <row r="432" spans="1:9" x14ac:dyDescent="0.3">
      <c r="A432" s="2" t="s">
        <v>14</v>
      </c>
      <c r="D432" s="2" t="s">
        <v>2169</v>
      </c>
      <c r="F432" s="2" t="s">
        <v>2166</v>
      </c>
      <c r="G432" s="2" t="s">
        <v>2456</v>
      </c>
      <c r="H432" s="2" t="s">
        <v>2510</v>
      </c>
      <c r="I432" s="2" t="s">
        <v>2564</v>
      </c>
    </row>
    <row r="433" spans="1:9" x14ac:dyDescent="0.3">
      <c r="A433" s="2" t="s">
        <v>14</v>
      </c>
      <c r="D433" s="2" t="s">
        <v>2171</v>
      </c>
      <c r="F433" s="2" t="s">
        <v>683</v>
      </c>
      <c r="G433" s="2" t="s">
        <v>2457</v>
      </c>
      <c r="H433" s="2" t="s">
        <v>2511</v>
      </c>
      <c r="I433" s="2" t="s">
        <v>2565</v>
      </c>
    </row>
    <row r="434" spans="1:9" x14ac:dyDescent="0.3">
      <c r="A434" s="2" t="s">
        <v>14</v>
      </c>
      <c r="D434" s="2" t="s">
        <v>818</v>
      </c>
      <c r="F434" s="2" t="s">
        <v>687</v>
      </c>
      <c r="G434" s="2" t="s">
        <v>987</v>
      </c>
      <c r="H434" s="2" t="s">
        <v>1006</v>
      </c>
      <c r="I434" s="2" t="s">
        <v>1025</v>
      </c>
    </row>
    <row r="435" spans="1:9" x14ac:dyDescent="0.3">
      <c r="A435" s="2" t="s">
        <v>14</v>
      </c>
      <c r="D435" s="2" t="s">
        <v>819</v>
      </c>
      <c r="F435" s="2" t="s">
        <v>2167</v>
      </c>
      <c r="G435" s="2" t="s">
        <v>988</v>
      </c>
      <c r="H435" s="2" t="s">
        <v>1007</v>
      </c>
      <c r="I435" s="2" t="s">
        <v>1026</v>
      </c>
    </row>
    <row r="436" spans="1:9" x14ac:dyDescent="0.3">
      <c r="A436" s="2" t="s">
        <v>14</v>
      </c>
      <c r="D436" s="2" t="s">
        <v>821</v>
      </c>
      <c r="F436" s="2" t="s">
        <v>689</v>
      </c>
      <c r="G436" s="2" t="s">
        <v>989</v>
      </c>
      <c r="H436" s="2" t="s">
        <v>1008</v>
      </c>
      <c r="I436" s="2" t="s">
        <v>1027</v>
      </c>
    </row>
    <row r="437" spans="1:9" x14ac:dyDescent="0.3">
      <c r="A437" s="2" t="s">
        <v>14</v>
      </c>
      <c r="D437" s="2" t="s">
        <v>823</v>
      </c>
      <c r="F437" s="2" t="s">
        <v>685</v>
      </c>
      <c r="G437" s="2" t="s">
        <v>990</v>
      </c>
      <c r="H437" s="2" t="s">
        <v>1009</v>
      </c>
      <c r="I437" s="2" t="s">
        <v>1028</v>
      </c>
    </row>
    <row r="438" spans="1:9" x14ac:dyDescent="0.3">
      <c r="A438" s="2" t="s">
        <v>14</v>
      </c>
      <c r="D438" s="2" t="s">
        <v>825</v>
      </c>
      <c r="F438" s="2" t="s">
        <v>2168</v>
      </c>
      <c r="G438" s="2" t="s">
        <v>991</v>
      </c>
      <c r="H438" s="2" t="s">
        <v>1010</v>
      </c>
      <c r="I438" s="2" t="s">
        <v>1029</v>
      </c>
    </row>
    <row r="439" spans="1:9" x14ac:dyDescent="0.3">
      <c r="A439" s="2" t="s">
        <v>14</v>
      </c>
      <c r="D439" s="2" t="s">
        <v>827</v>
      </c>
      <c r="F439" s="2" t="s">
        <v>2170</v>
      </c>
      <c r="G439" s="2" t="s">
        <v>992</v>
      </c>
      <c r="H439" s="2" t="s">
        <v>1011</v>
      </c>
      <c r="I439" s="2" t="s">
        <v>1030</v>
      </c>
    </row>
    <row r="440" spans="1:9" x14ac:dyDescent="0.3">
      <c r="A440" s="2" t="s">
        <v>14</v>
      </c>
      <c r="D440" s="2" t="s">
        <v>829</v>
      </c>
      <c r="F440" s="2" t="s">
        <v>2172</v>
      </c>
      <c r="G440" s="2" t="s">
        <v>993</v>
      </c>
      <c r="H440" s="2" t="s">
        <v>1012</v>
      </c>
      <c r="I440" s="2" t="s">
        <v>1031</v>
      </c>
    </row>
    <row r="441" spans="1:9" x14ac:dyDescent="0.3">
      <c r="A441" s="2" t="s">
        <v>14</v>
      </c>
      <c r="D441" s="2" t="s">
        <v>831</v>
      </c>
      <c r="F441" s="2" t="s">
        <v>691</v>
      </c>
      <c r="G441" s="2" t="s">
        <v>994</v>
      </c>
      <c r="H441" s="2" t="s">
        <v>1013</v>
      </c>
      <c r="I441" s="2" t="s">
        <v>1032</v>
      </c>
    </row>
    <row r="442" spans="1:9" x14ac:dyDescent="0.3">
      <c r="A442" s="2" t="s">
        <v>14</v>
      </c>
      <c r="D442" s="2" t="s">
        <v>833</v>
      </c>
      <c r="F442" s="2" t="s">
        <v>2173</v>
      </c>
      <c r="G442" s="2" t="s">
        <v>995</v>
      </c>
      <c r="H442" s="2" t="s">
        <v>1014</v>
      </c>
      <c r="I442" s="2" t="s">
        <v>1033</v>
      </c>
    </row>
    <row r="443" spans="1:9" x14ac:dyDescent="0.3">
      <c r="A443" s="2" t="s">
        <v>14</v>
      </c>
      <c r="D443" s="2" t="s">
        <v>835</v>
      </c>
      <c r="F443" s="2" t="s">
        <v>693</v>
      </c>
      <c r="G443" s="2" t="s">
        <v>996</v>
      </c>
      <c r="H443" s="2" t="s">
        <v>1015</v>
      </c>
      <c r="I443" s="2" t="s">
        <v>1034</v>
      </c>
    </row>
    <row r="444" spans="1:9" x14ac:dyDescent="0.3">
      <c r="A444" s="2" t="s">
        <v>14</v>
      </c>
      <c r="D444" s="2" t="s">
        <v>837</v>
      </c>
      <c r="F444" s="2" t="s">
        <v>695</v>
      </c>
      <c r="G444" s="2" t="s">
        <v>997</v>
      </c>
      <c r="H444" s="2" t="s">
        <v>1016</v>
      </c>
      <c r="I444" s="2" t="s">
        <v>1035</v>
      </c>
    </row>
    <row r="445" spans="1:9" x14ac:dyDescent="0.3">
      <c r="A445" s="2" t="s">
        <v>14</v>
      </c>
      <c r="D445" s="2" t="s">
        <v>839</v>
      </c>
      <c r="F445" s="2" t="s">
        <v>2174</v>
      </c>
      <c r="G445" s="2" t="s">
        <v>998</v>
      </c>
      <c r="H445" s="2" t="s">
        <v>1017</v>
      </c>
      <c r="I445" s="2" t="s">
        <v>1036</v>
      </c>
    </row>
    <row r="446" spans="1:9" x14ac:dyDescent="0.3">
      <c r="A446" s="2" t="s">
        <v>14</v>
      </c>
      <c r="D446" s="2" t="s">
        <v>841</v>
      </c>
      <c r="F446" s="2" t="s">
        <v>697</v>
      </c>
      <c r="G446" s="2" t="s">
        <v>999</v>
      </c>
      <c r="H446" s="2" t="s">
        <v>1018</v>
      </c>
      <c r="I446" s="2" t="s">
        <v>1037</v>
      </c>
    </row>
    <row r="447" spans="1:9" x14ac:dyDescent="0.3">
      <c r="A447" s="2" t="s">
        <v>14</v>
      </c>
      <c r="D447" s="2" t="s">
        <v>843</v>
      </c>
      <c r="F447" s="2" t="s">
        <v>699</v>
      </c>
      <c r="G447" s="2" t="s">
        <v>1000</v>
      </c>
      <c r="H447" s="2" t="s">
        <v>1019</v>
      </c>
      <c r="I447" s="2" t="s">
        <v>1038</v>
      </c>
    </row>
    <row r="448" spans="1:9" x14ac:dyDescent="0.3">
      <c r="A448" s="2" t="s">
        <v>14</v>
      </c>
      <c r="D448" s="2" t="s">
        <v>845</v>
      </c>
      <c r="F448" s="2" t="s">
        <v>2175</v>
      </c>
      <c r="G448" s="2" t="s">
        <v>1001</v>
      </c>
      <c r="H448" s="2" t="s">
        <v>1020</v>
      </c>
      <c r="I448" s="2" t="s">
        <v>1039</v>
      </c>
    </row>
    <row r="449" spans="1:9" x14ac:dyDescent="0.3">
      <c r="A449" s="2" t="s">
        <v>14</v>
      </c>
      <c r="D449" s="2" t="s">
        <v>847</v>
      </c>
      <c r="F449" s="2" t="s">
        <v>2176</v>
      </c>
      <c r="G449" s="2" t="s">
        <v>1002</v>
      </c>
      <c r="H449" s="2" t="s">
        <v>1021</v>
      </c>
      <c r="I449" s="2" t="s">
        <v>1040</v>
      </c>
    </row>
    <row r="450" spans="1:9" x14ac:dyDescent="0.3">
      <c r="A450" s="2" t="s">
        <v>14</v>
      </c>
      <c r="D450" s="2" t="s">
        <v>849</v>
      </c>
      <c r="F450" s="2" t="s">
        <v>701</v>
      </c>
      <c r="G450" s="2" t="s">
        <v>1003</v>
      </c>
      <c r="H450" s="2" t="s">
        <v>1022</v>
      </c>
      <c r="I450" s="2" t="s">
        <v>1041</v>
      </c>
    </row>
    <row r="451" spans="1:9" x14ac:dyDescent="0.3">
      <c r="A451" s="2" t="s">
        <v>14</v>
      </c>
      <c r="D451" s="2" t="s">
        <v>851</v>
      </c>
      <c r="F451" s="2" t="s">
        <v>2177</v>
      </c>
      <c r="G451" s="2" t="s">
        <v>1004</v>
      </c>
      <c r="H451" s="2" t="s">
        <v>1023</v>
      </c>
      <c r="I451" s="2" t="s">
        <v>1042</v>
      </c>
    </row>
    <row r="452" spans="1:9" x14ac:dyDescent="0.3">
      <c r="A452" s="2" t="s">
        <v>14</v>
      </c>
      <c r="D452" s="2" t="s">
        <v>853</v>
      </c>
      <c r="F452" s="2" t="s">
        <v>703</v>
      </c>
      <c r="G452" s="2" t="s">
        <v>1005</v>
      </c>
      <c r="H452" s="2" t="s">
        <v>1024</v>
      </c>
      <c r="I452" s="2" t="s">
        <v>1043</v>
      </c>
    </row>
    <row r="453" spans="1:9" x14ac:dyDescent="0.3">
      <c r="A453" s="2" t="s">
        <v>14</v>
      </c>
      <c r="D453" s="2" t="s">
        <v>2183</v>
      </c>
      <c r="F453" s="2" t="s">
        <v>2178</v>
      </c>
      <c r="G453" s="2" t="s">
        <v>2458</v>
      </c>
      <c r="H453" s="2" t="s">
        <v>2512</v>
      </c>
      <c r="I453" s="2" t="s">
        <v>2566</v>
      </c>
    </row>
    <row r="454" spans="1:9" x14ac:dyDescent="0.3">
      <c r="A454" s="2" t="s">
        <v>14</v>
      </c>
      <c r="D454" s="2" t="s">
        <v>2184</v>
      </c>
      <c r="F454" s="2" t="s">
        <v>2179</v>
      </c>
      <c r="G454" s="2" t="s">
        <v>2459</v>
      </c>
      <c r="H454" s="2" t="s">
        <v>2513</v>
      </c>
      <c r="I454" s="2" t="s">
        <v>2567</v>
      </c>
    </row>
    <row r="455" spans="1:9" x14ac:dyDescent="0.3">
      <c r="A455" s="2" t="s">
        <v>14</v>
      </c>
      <c r="D455" s="2" t="s">
        <v>2185</v>
      </c>
      <c r="F455" s="2" t="s">
        <v>2180</v>
      </c>
      <c r="G455" s="2" t="s">
        <v>2460</v>
      </c>
      <c r="H455" s="2" t="s">
        <v>2514</v>
      </c>
      <c r="I455" s="2" t="s">
        <v>2568</v>
      </c>
    </row>
    <row r="456" spans="1:9" x14ac:dyDescent="0.3">
      <c r="A456" s="2" t="s">
        <v>14</v>
      </c>
      <c r="D456" s="2" t="s">
        <v>2187</v>
      </c>
      <c r="F456" s="2" t="s">
        <v>2181</v>
      </c>
      <c r="G456" s="2" t="s">
        <v>2461</v>
      </c>
      <c r="H456" s="2" t="s">
        <v>2515</v>
      </c>
      <c r="I456" s="2" t="s">
        <v>2569</v>
      </c>
    </row>
    <row r="457" spans="1:9" x14ac:dyDescent="0.3">
      <c r="A457" s="2" t="s">
        <v>14</v>
      </c>
      <c r="D457" s="2" t="s">
        <v>2189</v>
      </c>
      <c r="F457" s="2" t="s">
        <v>705</v>
      </c>
      <c r="G457" s="2" t="s">
        <v>2462</v>
      </c>
      <c r="H457" s="2" t="s">
        <v>2516</v>
      </c>
      <c r="I457" s="2" t="s">
        <v>2570</v>
      </c>
    </row>
    <row r="458" spans="1:9" x14ac:dyDescent="0.3">
      <c r="A458" s="2" t="s">
        <v>14</v>
      </c>
      <c r="D458" s="2" t="s">
        <v>2191</v>
      </c>
      <c r="F458" s="2" t="s">
        <v>2182</v>
      </c>
      <c r="G458" s="2" t="s">
        <v>2463</v>
      </c>
      <c r="H458" s="2" t="s">
        <v>2517</v>
      </c>
      <c r="I458" s="2" t="s">
        <v>2571</v>
      </c>
    </row>
    <row r="459" spans="1:9" x14ac:dyDescent="0.3">
      <c r="A459" s="2" t="s">
        <v>14</v>
      </c>
      <c r="D459" s="2" t="s">
        <v>2192</v>
      </c>
      <c r="F459" s="2" t="s">
        <v>707</v>
      </c>
      <c r="G459" s="2" t="s">
        <v>2464</v>
      </c>
      <c r="H459" s="2" t="s">
        <v>2518</v>
      </c>
      <c r="I459" s="2" t="s">
        <v>2572</v>
      </c>
    </row>
    <row r="460" spans="1:9" x14ac:dyDescent="0.3">
      <c r="A460" s="2" t="s">
        <v>14</v>
      </c>
      <c r="D460" s="2" t="s">
        <v>2193</v>
      </c>
      <c r="F460" s="2" t="s">
        <v>709</v>
      </c>
      <c r="G460" s="2" t="s">
        <v>2465</v>
      </c>
      <c r="H460" s="2" t="s">
        <v>2519</v>
      </c>
      <c r="I460" s="2" t="s">
        <v>2573</v>
      </c>
    </row>
    <row r="461" spans="1:9" x14ac:dyDescent="0.3">
      <c r="A461" s="2" t="s">
        <v>14</v>
      </c>
      <c r="D461" s="2" t="s">
        <v>2195</v>
      </c>
      <c r="F461" s="2" t="s">
        <v>711</v>
      </c>
      <c r="G461" s="2" t="s">
        <v>2466</v>
      </c>
      <c r="H461" s="2" t="s">
        <v>2520</v>
      </c>
      <c r="I461" s="2" t="s">
        <v>2574</v>
      </c>
    </row>
    <row r="462" spans="1:9" x14ac:dyDescent="0.3">
      <c r="A462" s="2" t="s">
        <v>14</v>
      </c>
      <c r="D462" s="2" t="s">
        <v>2197</v>
      </c>
      <c r="F462" s="2" t="s">
        <v>2186</v>
      </c>
      <c r="G462" s="2" t="s">
        <v>2467</v>
      </c>
      <c r="H462" s="2" t="s">
        <v>2521</v>
      </c>
      <c r="I462" s="2" t="s">
        <v>2575</v>
      </c>
    </row>
    <row r="463" spans="1:9" x14ac:dyDescent="0.3">
      <c r="A463" s="2" t="s">
        <v>14</v>
      </c>
      <c r="D463" s="2" t="s">
        <v>2199</v>
      </c>
      <c r="F463" s="2" t="s">
        <v>2188</v>
      </c>
      <c r="G463" s="2" t="s">
        <v>2468</v>
      </c>
      <c r="H463" s="2" t="s">
        <v>2522</v>
      </c>
      <c r="I463" s="2" t="s">
        <v>2576</v>
      </c>
    </row>
    <row r="464" spans="1:9" x14ac:dyDescent="0.3">
      <c r="A464" s="2" t="s">
        <v>14</v>
      </c>
      <c r="D464" s="2" t="s">
        <v>2201</v>
      </c>
      <c r="F464" s="2" t="s">
        <v>2190</v>
      </c>
      <c r="G464" s="2" t="s">
        <v>2469</v>
      </c>
      <c r="H464" s="2" t="s">
        <v>2523</v>
      </c>
      <c r="I464" s="2" t="s">
        <v>2577</v>
      </c>
    </row>
    <row r="465" spans="1:9" x14ac:dyDescent="0.3">
      <c r="A465" s="2" t="s">
        <v>14</v>
      </c>
      <c r="D465" s="2" t="s">
        <v>2202</v>
      </c>
      <c r="F465" s="2" t="s">
        <v>713</v>
      </c>
      <c r="G465" s="2" t="s">
        <v>2470</v>
      </c>
      <c r="H465" s="2" t="s">
        <v>2524</v>
      </c>
      <c r="I465" s="2" t="s">
        <v>2578</v>
      </c>
    </row>
    <row r="466" spans="1:9" x14ac:dyDescent="0.3">
      <c r="A466" s="2" t="s">
        <v>14</v>
      </c>
      <c r="D466" s="2" t="s">
        <v>2203</v>
      </c>
      <c r="F466" s="2" t="s">
        <v>715</v>
      </c>
      <c r="G466" s="2" t="s">
        <v>2471</v>
      </c>
      <c r="H466" s="2" t="s">
        <v>2525</v>
      </c>
      <c r="I466" s="2" t="s">
        <v>2579</v>
      </c>
    </row>
    <row r="467" spans="1:9" x14ac:dyDescent="0.3">
      <c r="A467" s="2" t="s">
        <v>14</v>
      </c>
      <c r="D467" s="2" t="s">
        <v>2205</v>
      </c>
      <c r="F467" s="2" t="s">
        <v>2194</v>
      </c>
      <c r="G467" s="2" t="s">
        <v>2472</v>
      </c>
      <c r="H467" s="2" t="s">
        <v>2526</v>
      </c>
      <c r="I467" s="2" t="s">
        <v>2580</v>
      </c>
    </row>
    <row r="468" spans="1:9" x14ac:dyDescent="0.3">
      <c r="A468" s="2" t="s">
        <v>14</v>
      </c>
      <c r="D468" s="2" t="s">
        <v>2207</v>
      </c>
      <c r="F468" s="2" t="s">
        <v>2196</v>
      </c>
      <c r="G468" s="2" t="s">
        <v>2473</v>
      </c>
      <c r="H468" s="2" t="s">
        <v>2527</v>
      </c>
      <c r="I468" s="2" t="s">
        <v>2581</v>
      </c>
    </row>
    <row r="469" spans="1:9" x14ac:dyDescent="0.3">
      <c r="A469" s="2" t="s">
        <v>14</v>
      </c>
      <c r="D469" s="2" t="s">
        <v>2209</v>
      </c>
      <c r="F469" s="2" t="s">
        <v>2198</v>
      </c>
      <c r="G469" s="2" t="s">
        <v>2474</v>
      </c>
      <c r="H469" s="2" t="s">
        <v>2528</v>
      </c>
      <c r="I469" s="2" t="s">
        <v>2582</v>
      </c>
    </row>
    <row r="470" spans="1:9" x14ac:dyDescent="0.3">
      <c r="A470" s="2" t="s">
        <v>14</v>
      </c>
      <c r="D470" s="2" t="s">
        <v>2211</v>
      </c>
      <c r="F470" s="2" t="s">
        <v>2200</v>
      </c>
      <c r="G470" s="2" t="s">
        <v>2475</v>
      </c>
      <c r="H470" s="2" t="s">
        <v>2529</v>
      </c>
      <c r="I470" s="2" t="s">
        <v>2583</v>
      </c>
    </row>
    <row r="471" spans="1:9" x14ac:dyDescent="0.3">
      <c r="A471" s="2" t="s">
        <v>14</v>
      </c>
      <c r="D471" s="2" t="s">
        <v>2212</v>
      </c>
      <c r="F471" s="2" t="s">
        <v>717</v>
      </c>
      <c r="G471" s="2" t="s">
        <v>2476</v>
      </c>
      <c r="H471" s="2" t="s">
        <v>2530</v>
      </c>
      <c r="I471" s="2" t="s">
        <v>2584</v>
      </c>
    </row>
    <row r="472" spans="1:9" x14ac:dyDescent="0.3">
      <c r="A472" s="2" t="s">
        <v>14</v>
      </c>
      <c r="D472" s="2" t="s">
        <v>2213</v>
      </c>
      <c r="F472" s="2" t="s">
        <v>719</v>
      </c>
      <c r="G472" s="2" t="s">
        <v>2477</v>
      </c>
      <c r="H472" s="2" t="s">
        <v>2531</v>
      </c>
      <c r="I472" s="2" t="s">
        <v>2585</v>
      </c>
    </row>
    <row r="473" spans="1:9" x14ac:dyDescent="0.3">
      <c r="A473" s="2" t="s">
        <v>14</v>
      </c>
      <c r="D473" s="2" t="s">
        <v>2215</v>
      </c>
      <c r="F473" s="2" t="s">
        <v>2204</v>
      </c>
      <c r="G473" s="2" t="s">
        <v>2478</v>
      </c>
      <c r="H473" s="2" t="s">
        <v>2532</v>
      </c>
      <c r="I473" s="2" t="s">
        <v>2586</v>
      </c>
    </row>
    <row r="474" spans="1:9" x14ac:dyDescent="0.3">
      <c r="A474" s="2" t="s">
        <v>14</v>
      </c>
      <c r="D474" s="2" t="s">
        <v>2217</v>
      </c>
      <c r="F474" s="2" t="s">
        <v>2206</v>
      </c>
      <c r="G474" s="2" t="s">
        <v>2479</v>
      </c>
      <c r="H474" s="2" t="s">
        <v>2533</v>
      </c>
      <c r="I474" s="2" t="s">
        <v>2587</v>
      </c>
    </row>
    <row r="475" spans="1:9" x14ac:dyDescent="0.3">
      <c r="A475" s="2" t="s">
        <v>14</v>
      </c>
      <c r="D475" s="2" t="s">
        <v>2219</v>
      </c>
      <c r="F475" s="2" t="s">
        <v>2208</v>
      </c>
      <c r="G475" s="2" t="s">
        <v>2480</v>
      </c>
      <c r="H475" s="2" t="s">
        <v>2534</v>
      </c>
      <c r="I475" s="2" t="s">
        <v>2588</v>
      </c>
    </row>
    <row r="476" spans="1:9" x14ac:dyDescent="0.3">
      <c r="A476" s="2" t="s">
        <v>14</v>
      </c>
      <c r="D476" s="2" t="s">
        <v>2220</v>
      </c>
      <c r="F476" s="2" t="s">
        <v>2210</v>
      </c>
      <c r="G476" s="2" t="s">
        <v>2481</v>
      </c>
      <c r="H476" s="2" t="s">
        <v>2535</v>
      </c>
      <c r="I476" s="2" t="s">
        <v>2589</v>
      </c>
    </row>
    <row r="477" spans="1:9" x14ac:dyDescent="0.3">
      <c r="A477" s="2" t="s">
        <v>14</v>
      </c>
      <c r="D477" s="2" t="s">
        <v>2221</v>
      </c>
      <c r="F477" s="2" t="s">
        <v>721</v>
      </c>
      <c r="G477" s="2" t="s">
        <v>2482</v>
      </c>
      <c r="H477" s="2" t="s">
        <v>2536</v>
      </c>
      <c r="I477" s="2" t="s">
        <v>2590</v>
      </c>
    </row>
    <row r="478" spans="1:9" x14ac:dyDescent="0.3">
      <c r="A478" s="2" t="s">
        <v>14</v>
      </c>
      <c r="D478" s="2" t="s">
        <v>2223</v>
      </c>
      <c r="F478" s="2" t="s">
        <v>723</v>
      </c>
      <c r="G478" s="2" t="s">
        <v>2483</v>
      </c>
      <c r="H478" s="2" t="s">
        <v>2537</v>
      </c>
      <c r="I478" s="2" t="s">
        <v>2591</v>
      </c>
    </row>
    <row r="479" spans="1:9" x14ac:dyDescent="0.3">
      <c r="A479" s="2" t="s">
        <v>14</v>
      </c>
      <c r="D479" s="2" t="s">
        <v>2225</v>
      </c>
      <c r="F479" s="2" t="s">
        <v>2214</v>
      </c>
      <c r="G479" s="2" t="s">
        <v>2484</v>
      </c>
      <c r="H479" s="2" t="s">
        <v>2538</v>
      </c>
      <c r="I479" s="2" t="s">
        <v>2592</v>
      </c>
    </row>
    <row r="480" spans="1:9" x14ac:dyDescent="0.3">
      <c r="A480" s="2" t="s">
        <v>14</v>
      </c>
      <c r="D480" s="2" t="s">
        <v>2227</v>
      </c>
      <c r="F480" s="2" t="s">
        <v>2216</v>
      </c>
      <c r="G480" s="2" t="s">
        <v>2485</v>
      </c>
      <c r="H480" s="2" t="s">
        <v>2539</v>
      </c>
      <c r="I480" s="2" t="s">
        <v>2593</v>
      </c>
    </row>
    <row r="481" spans="1:9" x14ac:dyDescent="0.3">
      <c r="A481" s="2" t="s">
        <v>14</v>
      </c>
      <c r="D481" s="2" t="s">
        <v>2229</v>
      </c>
      <c r="F481" s="2" t="s">
        <v>2218</v>
      </c>
      <c r="G481" s="2" t="s">
        <v>2486</v>
      </c>
      <c r="H481" s="2" t="s">
        <v>2540</v>
      </c>
      <c r="I481" s="2" t="s">
        <v>2594</v>
      </c>
    </row>
    <row r="482" spans="1:9" x14ac:dyDescent="0.3">
      <c r="A482" s="2" t="s">
        <v>14</v>
      </c>
      <c r="D482" s="2" t="s">
        <v>2230</v>
      </c>
      <c r="F482" s="2" t="s">
        <v>725</v>
      </c>
      <c r="G482" s="2" t="s">
        <v>2487</v>
      </c>
      <c r="H482" s="2" t="s">
        <v>2541</v>
      </c>
      <c r="I482" s="2" t="s">
        <v>2595</v>
      </c>
    </row>
    <row r="483" spans="1:9" x14ac:dyDescent="0.3">
      <c r="A483" s="2" t="s">
        <v>14</v>
      </c>
      <c r="D483" s="2" t="s">
        <v>2231</v>
      </c>
      <c r="F483" s="2" t="s">
        <v>727</v>
      </c>
      <c r="G483" s="2" t="s">
        <v>2488</v>
      </c>
      <c r="H483" s="2" t="s">
        <v>2542</v>
      </c>
      <c r="I483" s="2" t="s">
        <v>2596</v>
      </c>
    </row>
    <row r="484" spans="1:9" x14ac:dyDescent="0.3">
      <c r="A484" s="2" t="s">
        <v>14</v>
      </c>
      <c r="D484" s="2" t="s">
        <v>2233</v>
      </c>
      <c r="F484" s="2" t="s">
        <v>2669</v>
      </c>
      <c r="G484" s="2" t="s">
        <v>2489</v>
      </c>
      <c r="H484" s="2" t="s">
        <v>2543</v>
      </c>
      <c r="I484" s="2" t="s">
        <v>2597</v>
      </c>
    </row>
    <row r="485" spans="1:9" x14ac:dyDescent="0.3">
      <c r="A485" s="2" t="s">
        <v>14</v>
      </c>
      <c r="D485" s="2" t="s">
        <v>2234</v>
      </c>
      <c r="F485" s="2" t="s">
        <v>2222</v>
      </c>
      <c r="G485" s="2" t="s">
        <v>2490</v>
      </c>
      <c r="H485" s="2" t="s">
        <v>2544</v>
      </c>
      <c r="I485" s="2" t="s">
        <v>2598</v>
      </c>
    </row>
    <row r="486" spans="1:9" x14ac:dyDescent="0.3">
      <c r="A486" s="2" t="s">
        <v>14</v>
      </c>
      <c r="D486" s="2" t="s">
        <v>2235</v>
      </c>
      <c r="F486" s="2" t="s">
        <v>2224</v>
      </c>
      <c r="G486" s="2" t="s">
        <v>2491</v>
      </c>
      <c r="H486" s="2" t="s">
        <v>2545</v>
      </c>
      <c r="I486" s="2" t="s">
        <v>2599</v>
      </c>
    </row>
    <row r="487" spans="1:9" x14ac:dyDescent="0.3">
      <c r="A487" s="2" t="s">
        <v>14</v>
      </c>
      <c r="D487" s="2" t="s">
        <v>2237</v>
      </c>
      <c r="F487" s="2" t="s">
        <v>2226</v>
      </c>
      <c r="G487" s="2" t="s">
        <v>2492</v>
      </c>
      <c r="H487" s="2" t="s">
        <v>2546</v>
      </c>
      <c r="I487" s="2" t="s">
        <v>2600</v>
      </c>
    </row>
    <row r="488" spans="1:9" x14ac:dyDescent="0.3">
      <c r="A488" s="2" t="s">
        <v>14</v>
      </c>
      <c r="D488" s="2" t="s">
        <v>2238</v>
      </c>
      <c r="F488" s="2" t="s">
        <v>2228</v>
      </c>
      <c r="G488" s="2" t="s">
        <v>2493</v>
      </c>
      <c r="H488" s="2" t="s">
        <v>2547</v>
      </c>
      <c r="I488" s="2" t="s">
        <v>2601</v>
      </c>
    </row>
    <row r="489" spans="1:9" x14ac:dyDescent="0.3">
      <c r="A489" s="2" t="s">
        <v>14</v>
      </c>
      <c r="D489" s="2" t="s">
        <v>2239</v>
      </c>
      <c r="F489" s="2" t="s">
        <v>729</v>
      </c>
      <c r="G489" s="2" t="s">
        <v>2494</v>
      </c>
      <c r="H489" s="2" t="s">
        <v>2548</v>
      </c>
      <c r="I489" s="2" t="s">
        <v>2602</v>
      </c>
    </row>
    <row r="490" spans="1:9" x14ac:dyDescent="0.3">
      <c r="A490" s="2" t="s">
        <v>14</v>
      </c>
      <c r="D490" s="2" t="s">
        <v>2241</v>
      </c>
      <c r="F490" s="2" t="s">
        <v>731</v>
      </c>
      <c r="G490" s="2" t="s">
        <v>2495</v>
      </c>
      <c r="H490" s="2" t="s">
        <v>2549</v>
      </c>
      <c r="I490" s="2" t="s">
        <v>2603</v>
      </c>
    </row>
    <row r="491" spans="1:9" x14ac:dyDescent="0.3">
      <c r="A491" s="2" t="s">
        <v>14</v>
      </c>
      <c r="D491" s="2" t="s">
        <v>2243</v>
      </c>
      <c r="F491" s="2" t="s">
        <v>2232</v>
      </c>
      <c r="G491" s="2" t="s">
        <v>2496</v>
      </c>
      <c r="H491" s="2" t="s">
        <v>2550</v>
      </c>
      <c r="I491" s="2" t="s">
        <v>2604</v>
      </c>
    </row>
    <row r="492" spans="1:9" x14ac:dyDescent="0.3">
      <c r="A492" s="2" t="s">
        <v>14</v>
      </c>
      <c r="D492" s="2" t="s">
        <v>2245</v>
      </c>
      <c r="F492" s="2" t="s">
        <v>733</v>
      </c>
      <c r="G492" s="2" t="s">
        <v>2497</v>
      </c>
      <c r="H492" s="2" t="s">
        <v>2551</v>
      </c>
      <c r="I492" s="2" t="s">
        <v>2605</v>
      </c>
    </row>
    <row r="493" spans="1:9" x14ac:dyDescent="0.3">
      <c r="A493" s="2" t="s">
        <v>14</v>
      </c>
      <c r="D493" s="2" t="s">
        <v>2246</v>
      </c>
      <c r="F493" s="2" t="s">
        <v>735</v>
      </c>
      <c r="G493" s="2" t="s">
        <v>2498</v>
      </c>
      <c r="H493" s="2" t="s">
        <v>2552</v>
      </c>
      <c r="I493" s="2" t="s">
        <v>2606</v>
      </c>
    </row>
    <row r="494" spans="1:9" x14ac:dyDescent="0.3">
      <c r="A494" s="2" t="s">
        <v>14</v>
      </c>
      <c r="D494" s="2" t="s">
        <v>2247</v>
      </c>
      <c r="F494" s="2" t="s">
        <v>2236</v>
      </c>
      <c r="G494" s="2" t="s">
        <v>2499</v>
      </c>
      <c r="H494" s="2" t="s">
        <v>2553</v>
      </c>
      <c r="I494" s="2" t="s">
        <v>2607</v>
      </c>
    </row>
    <row r="495" spans="1:9" x14ac:dyDescent="0.3">
      <c r="A495" s="2" t="s">
        <v>14</v>
      </c>
      <c r="D495" s="2" t="s">
        <v>2248</v>
      </c>
      <c r="F495" s="2" t="s">
        <v>737</v>
      </c>
      <c r="G495" s="2" t="s">
        <v>2500</v>
      </c>
      <c r="H495" s="2" t="s">
        <v>2554</v>
      </c>
      <c r="I495" s="2" t="s">
        <v>2608</v>
      </c>
    </row>
    <row r="496" spans="1:9" x14ac:dyDescent="0.3">
      <c r="A496" s="2" t="s">
        <v>14</v>
      </c>
      <c r="D496" s="2" t="s">
        <v>2249</v>
      </c>
      <c r="F496" s="2" t="s">
        <v>739</v>
      </c>
      <c r="G496" s="2" t="s">
        <v>2501</v>
      </c>
      <c r="H496" s="2" t="s">
        <v>2555</v>
      </c>
      <c r="I496" s="2" t="s">
        <v>2609</v>
      </c>
    </row>
    <row r="497" spans="1:9" x14ac:dyDescent="0.3">
      <c r="A497" s="2" t="s">
        <v>14</v>
      </c>
      <c r="D497" s="2" t="s">
        <v>2250</v>
      </c>
      <c r="F497" s="2" t="s">
        <v>2670</v>
      </c>
      <c r="G497" s="2" t="s">
        <v>2502</v>
      </c>
      <c r="H497" s="2" t="s">
        <v>2556</v>
      </c>
      <c r="I497" s="2" t="s">
        <v>2610</v>
      </c>
    </row>
    <row r="498" spans="1:9" x14ac:dyDescent="0.3">
      <c r="A498" s="2" t="s">
        <v>14</v>
      </c>
      <c r="D498" s="2" t="s">
        <v>2251</v>
      </c>
      <c r="F498" s="2" t="s">
        <v>2240</v>
      </c>
      <c r="G498" s="2" t="s">
        <v>2503</v>
      </c>
      <c r="H498" s="2" t="s">
        <v>2557</v>
      </c>
      <c r="I498" s="2" t="s">
        <v>2611</v>
      </c>
    </row>
    <row r="499" spans="1:9" x14ac:dyDescent="0.3">
      <c r="A499" s="2" t="s">
        <v>14</v>
      </c>
      <c r="D499" s="2" t="s">
        <v>2253</v>
      </c>
      <c r="F499" s="2" t="s">
        <v>2242</v>
      </c>
      <c r="G499" s="2" t="s">
        <v>2504</v>
      </c>
      <c r="H499" s="2" t="s">
        <v>2558</v>
      </c>
      <c r="I499" s="2" t="s">
        <v>2612</v>
      </c>
    </row>
    <row r="500" spans="1:9" x14ac:dyDescent="0.3">
      <c r="A500" s="2" t="s">
        <v>14</v>
      </c>
      <c r="D500" s="2" t="s">
        <v>2255</v>
      </c>
      <c r="F500" s="2" t="s">
        <v>2671</v>
      </c>
      <c r="G500" s="2" t="s">
        <v>2505</v>
      </c>
      <c r="H500" s="2" t="s">
        <v>2559</v>
      </c>
      <c r="I500" s="2" t="s">
        <v>2613</v>
      </c>
    </row>
    <row r="501" spans="1:9" x14ac:dyDescent="0.3">
      <c r="A501" s="2" t="s">
        <v>14</v>
      </c>
      <c r="D501" s="2" t="s">
        <v>2256</v>
      </c>
      <c r="F501" s="2" t="s">
        <v>2244</v>
      </c>
      <c r="G501" s="2" t="s">
        <v>2506</v>
      </c>
      <c r="H501" s="2" t="s">
        <v>2560</v>
      </c>
      <c r="I501" s="2" t="s">
        <v>2614</v>
      </c>
    </row>
    <row r="502" spans="1:9" x14ac:dyDescent="0.3">
      <c r="A502" s="2" t="s">
        <v>14</v>
      </c>
      <c r="D502" s="2" t="s">
        <v>2257</v>
      </c>
      <c r="F502" s="2" t="s">
        <v>741</v>
      </c>
      <c r="G502" s="2" t="s">
        <v>2507</v>
      </c>
      <c r="H502" s="2" t="s">
        <v>2561</v>
      </c>
      <c r="I502" s="2" t="s">
        <v>2615</v>
      </c>
    </row>
    <row r="503" spans="1:9" x14ac:dyDescent="0.3">
      <c r="A503" s="2" t="s">
        <v>14</v>
      </c>
      <c r="D503" s="2" t="s">
        <v>2672</v>
      </c>
      <c r="F503" s="2" t="s">
        <v>743</v>
      </c>
      <c r="G503" s="2" t="s">
        <v>2746</v>
      </c>
      <c r="H503" s="2" t="s">
        <v>2748</v>
      </c>
      <c r="I503" s="2" t="s">
        <v>2750</v>
      </c>
    </row>
    <row r="504" spans="1:9" x14ac:dyDescent="0.3">
      <c r="A504" s="2" t="s">
        <v>14</v>
      </c>
      <c r="D504" s="2" t="s">
        <v>2673</v>
      </c>
      <c r="F504" s="2" t="s">
        <v>2674</v>
      </c>
      <c r="G504" s="2" t="s">
        <v>2747</v>
      </c>
      <c r="H504" s="2" t="s">
        <v>2749</v>
      </c>
      <c r="I504" s="2" t="s">
        <v>2751</v>
      </c>
    </row>
    <row r="505" spans="1:9" x14ac:dyDescent="0.3">
      <c r="A505" s="2" t="s">
        <v>14</v>
      </c>
      <c r="D505" s="2" t="s">
        <v>2259</v>
      </c>
      <c r="F505" s="2" t="s">
        <v>745</v>
      </c>
      <c r="G505" s="2" t="s">
        <v>2361</v>
      </c>
      <c r="H505" s="2" t="s">
        <v>2392</v>
      </c>
      <c r="I505" s="2" t="s">
        <v>2423</v>
      </c>
    </row>
    <row r="506" spans="1:9" x14ac:dyDescent="0.3">
      <c r="A506" s="2" t="s">
        <v>14</v>
      </c>
      <c r="D506" s="2" t="s">
        <v>2260</v>
      </c>
      <c r="F506" s="2" t="s">
        <v>747</v>
      </c>
      <c r="G506" s="2" t="s">
        <v>2362</v>
      </c>
      <c r="H506" s="2" t="s">
        <v>2393</v>
      </c>
      <c r="I506" s="2" t="s">
        <v>2424</v>
      </c>
    </row>
    <row r="507" spans="1:9" x14ac:dyDescent="0.3">
      <c r="A507" s="2" t="s">
        <v>14</v>
      </c>
      <c r="D507" s="2" t="s">
        <v>2261</v>
      </c>
      <c r="F507" s="2" t="s">
        <v>2675</v>
      </c>
      <c r="G507" s="2" t="s">
        <v>2363</v>
      </c>
      <c r="H507" s="2" t="s">
        <v>2394</v>
      </c>
      <c r="I507" s="2" t="s">
        <v>2425</v>
      </c>
    </row>
    <row r="508" spans="1:9" x14ac:dyDescent="0.3">
      <c r="A508" s="2" t="s">
        <v>14</v>
      </c>
      <c r="D508" s="2" t="s">
        <v>2262</v>
      </c>
      <c r="F508" s="2" t="s">
        <v>749</v>
      </c>
      <c r="G508" s="2" t="s">
        <v>2364</v>
      </c>
      <c r="H508" s="2" t="s">
        <v>2395</v>
      </c>
      <c r="I508" s="2" t="s">
        <v>2426</v>
      </c>
    </row>
    <row r="509" spans="1:9" x14ac:dyDescent="0.3">
      <c r="A509" s="2" t="s">
        <v>14</v>
      </c>
      <c r="D509" s="2" t="s">
        <v>2263</v>
      </c>
      <c r="F509" s="2" t="s">
        <v>751</v>
      </c>
      <c r="G509" s="2" t="s">
        <v>2365</v>
      </c>
      <c r="H509" s="2" t="s">
        <v>2396</v>
      </c>
      <c r="I509" s="2" t="s">
        <v>2427</v>
      </c>
    </row>
    <row r="510" spans="1:9" x14ac:dyDescent="0.3">
      <c r="A510" s="2" t="s">
        <v>14</v>
      </c>
      <c r="D510" s="2" t="s">
        <v>2264</v>
      </c>
      <c r="F510" s="2" t="s">
        <v>2252</v>
      </c>
      <c r="G510" s="2" t="s">
        <v>2366</v>
      </c>
      <c r="H510" s="2" t="s">
        <v>2397</v>
      </c>
      <c r="I510" s="2" t="s">
        <v>2428</v>
      </c>
    </row>
    <row r="511" spans="1:9" x14ac:dyDescent="0.3">
      <c r="A511" s="2" t="s">
        <v>14</v>
      </c>
      <c r="D511" s="2" t="s">
        <v>2265</v>
      </c>
      <c r="F511" s="2" t="s">
        <v>2254</v>
      </c>
      <c r="G511" s="2" t="s">
        <v>2367</v>
      </c>
      <c r="H511" s="2" t="s">
        <v>2398</v>
      </c>
      <c r="I511" s="2" t="s">
        <v>2429</v>
      </c>
    </row>
    <row r="512" spans="1:9" x14ac:dyDescent="0.3">
      <c r="A512" s="2" t="s">
        <v>14</v>
      </c>
      <c r="D512" s="2" t="s">
        <v>2266</v>
      </c>
      <c r="F512" s="2" t="s">
        <v>753</v>
      </c>
      <c r="G512" s="2" t="s">
        <v>2368</v>
      </c>
      <c r="H512" s="2" t="s">
        <v>2399</v>
      </c>
      <c r="I512" s="2" t="s">
        <v>2430</v>
      </c>
    </row>
    <row r="513" spans="1:9" x14ac:dyDescent="0.3">
      <c r="A513" s="2" t="s">
        <v>14</v>
      </c>
      <c r="D513" s="2" t="s">
        <v>2267</v>
      </c>
      <c r="F513" s="2" t="s">
        <v>755</v>
      </c>
      <c r="G513" s="2" t="s">
        <v>2369</v>
      </c>
      <c r="H513" s="2" t="s">
        <v>2400</v>
      </c>
      <c r="I513" s="2" t="s">
        <v>2431</v>
      </c>
    </row>
    <row r="514" spans="1:9" x14ac:dyDescent="0.3">
      <c r="A514" s="2" t="s">
        <v>14</v>
      </c>
      <c r="D514" s="2" t="s">
        <v>2268</v>
      </c>
      <c r="F514" s="2" t="s">
        <v>2676</v>
      </c>
      <c r="G514" s="2" t="s">
        <v>2370</v>
      </c>
      <c r="H514" s="2" t="s">
        <v>2401</v>
      </c>
      <c r="I514" s="2" t="s">
        <v>2432</v>
      </c>
    </row>
    <row r="515" spans="1:9" x14ac:dyDescent="0.3">
      <c r="A515" s="2" t="s">
        <v>14</v>
      </c>
      <c r="D515" s="2" t="s">
        <v>2269</v>
      </c>
      <c r="F515" s="2" t="s">
        <v>2677</v>
      </c>
      <c r="G515" s="2" t="s">
        <v>2371</v>
      </c>
      <c r="H515" s="2" t="s">
        <v>2402</v>
      </c>
      <c r="I515" s="2" t="s">
        <v>2433</v>
      </c>
    </row>
    <row r="516" spans="1:9" x14ac:dyDescent="0.3">
      <c r="A516" s="2" t="s">
        <v>14</v>
      </c>
      <c r="D516" s="2" t="s">
        <v>2270</v>
      </c>
      <c r="F516" s="2" t="s">
        <v>2258</v>
      </c>
      <c r="G516" s="2" t="s">
        <v>2372</v>
      </c>
      <c r="H516" s="2" t="s">
        <v>2403</v>
      </c>
      <c r="I516" s="2" t="s">
        <v>2434</v>
      </c>
    </row>
    <row r="517" spans="1:9" x14ac:dyDescent="0.3">
      <c r="A517" s="2" t="s">
        <v>14</v>
      </c>
      <c r="D517" s="2" t="s">
        <v>634</v>
      </c>
    </row>
    <row r="518" spans="1:9" x14ac:dyDescent="0.3">
      <c r="A518" s="2" t="s">
        <v>14</v>
      </c>
      <c r="D518" s="2" t="s">
        <v>2678</v>
      </c>
      <c r="E518" s="2" t="s">
        <v>756</v>
      </c>
      <c r="G518" s="2" t="s">
        <v>3</v>
      </c>
      <c r="H518" s="2" t="s">
        <v>4</v>
      </c>
      <c r="I518" s="2" t="s">
        <v>5</v>
      </c>
    </row>
    <row r="519" spans="1:9" x14ac:dyDescent="0.3">
      <c r="A519" s="2" t="s">
        <v>14</v>
      </c>
      <c r="D519" s="2" t="s">
        <v>2271</v>
      </c>
      <c r="F519" s="2" t="s">
        <v>2679</v>
      </c>
      <c r="G519" s="2" t="s">
        <v>2373</v>
      </c>
      <c r="H519" s="2" t="s">
        <v>2404</v>
      </c>
      <c r="I519" s="2" t="s">
        <v>2435</v>
      </c>
    </row>
    <row r="520" spans="1:9" x14ac:dyDescent="0.3">
      <c r="A520" s="2" t="s">
        <v>14</v>
      </c>
      <c r="D520" s="2" t="s">
        <v>2272</v>
      </c>
      <c r="F520" s="2" t="s">
        <v>760</v>
      </c>
      <c r="G520" s="2" t="s">
        <v>2374</v>
      </c>
      <c r="H520" s="2" t="s">
        <v>2405</v>
      </c>
      <c r="I520" s="2" t="s">
        <v>2436</v>
      </c>
    </row>
    <row r="521" spans="1:9" x14ac:dyDescent="0.3">
      <c r="A521" s="2" t="s">
        <v>14</v>
      </c>
      <c r="D521" s="2" t="s">
        <v>2273</v>
      </c>
      <c r="F521" s="2" t="s">
        <v>762</v>
      </c>
      <c r="G521" s="2" t="s">
        <v>2375</v>
      </c>
      <c r="H521" s="2" t="s">
        <v>2406</v>
      </c>
      <c r="I521" s="2" t="s">
        <v>2437</v>
      </c>
    </row>
    <row r="522" spans="1:9" x14ac:dyDescent="0.3">
      <c r="A522" s="2" t="s">
        <v>14</v>
      </c>
      <c r="D522" s="2" t="s">
        <v>2274</v>
      </c>
      <c r="F522" s="2" t="s">
        <v>764</v>
      </c>
      <c r="G522" s="2" t="s">
        <v>2376</v>
      </c>
      <c r="H522" s="2" t="s">
        <v>2407</v>
      </c>
      <c r="I522" s="2" t="s">
        <v>2438</v>
      </c>
    </row>
    <row r="523" spans="1:9" x14ac:dyDescent="0.3">
      <c r="A523" s="2" t="s">
        <v>14</v>
      </c>
      <c r="D523" s="2" t="s">
        <v>2275</v>
      </c>
      <c r="F523" s="2" t="s">
        <v>766</v>
      </c>
      <c r="G523" s="2" t="s">
        <v>2377</v>
      </c>
      <c r="H523" s="2" t="s">
        <v>2408</v>
      </c>
      <c r="I523" s="2" t="s">
        <v>2439</v>
      </c>
    </row>
    <row r="524" spans="1:9" x14ac:dyDescent="0.3">
      <c r="A524" s="2" t="s">
        <v>14</v>
      </c>
      <c r="D524" s="2" t="s">
        <v>2277</v>
      </c>
      <c r="F524" s="2" t="s">
        <v>768</v>
      </c>
      <c r="G524" s="2" t="s">
        <v>2378</v>
      </c>
      <c r="H524" s="2" t="s">
        <v>2409</v>
      </c>
      <c r="I524" s="2" t="s">
        <v>2440</v>
      </c>
    </row>
    <row r="525" spans="1:9" x14ac:dyDescent="0.3">
      <c r="A525" s="2" t="s">
        <v>14</v>
      </c>
      <c r="D525" s="2" t="s">
        <v>2278</v>
      </c>
      <c r="F525" s="2" t="s">
        <v>770</v>
      </c>
      <c r="G525" s="2" t="s">
        <v>2379</v>
      </c>
      <c r="H525" s="2" t="s">
        <v>2410</v>
      </c>
      <c r="I525" s="2" t="s">
        <v>2441</v>
      </c>
    </row>
    <row r="526" spans="1:9" x14ac:dyDescent="0.3">
      <c r="A526" s="2" t="s">
        <v>14</v>
      </c>
      <c r="D526" s="2" t="s">
        <v>2279</v>
      </c>
      <c r="F526" s="2" t="s">
        <v>772</v>
      </c>
      <c r="G526" s="2" t="s">
        <v>2380</v>
      </c>
      <c r="H526" s="2" t="s">
        <v>2411</v>
      </c>
      <c r="I526" s="2" t="s">
        <v>2442</v>
      </c>
    </row>
    <row r="527" spans="1:9" x14ac:dyDescent="0.3">
      <c r="A527" s="2" t="s">
        <v>14</v>
      </c>
      <c r="D527" s="2" t="s">
        <v>2280</v>
      </c>
      <c r="F527" s="2" t="s">
        <v>774</v>
      </c>
      <c r="G527" s="2" t="s">
        <v>2381</v>
      </c>
      <c r="H527" s="2" t="s">
        <v>2412</v>
      </c>
      <c r="I527" s="2" t="s">
        <v>2443</v>
      </c>
    </row>
    <row r="528" spans="1:9" x14ac:dyDescent="0.3">
      <c r="A528" s="2" t="s">
        <v>14</v>
      </c>
      <c r="D528" s="2" t="s">
        <v>2281</v>
      </c>
      <c r="F528" s="2" t="s">
        <v>776</v>
      </c>
      <c r="G528" s="2" t="s">
        <v>2382</v>
      </c>
      <c r="H528" s="2" t="s">
        <v>2413</v>
      </c>
      <c r="I528" s="2" t="s">
        <v>2444</v>
      </c>
    </row>
    <row r="529" spans="1:9" x14ac:dyDescent="0.3">
      <c r="A529" s="2" t="s">
        <v>14</v>
      </c>
      <c r="D529" s="2" t="s">
        <v>2283</v>
      </c>
      <c r="F529" s="2" t="s">
        <v>778</v>
      </c>
      <c r="G529" s="2" t="s">
        <v>2383</v>
      </c>
      <c r="H529" s="2" t="s">
        <v>2414</v>
      </c>
      <c r="I529" s="2" t="s">
        <v>2445</v>
      </c>
    </row>
    <row r="530" spans="1:9" x14ac:dyDescent="0.3">
      <c r="A530" s="2" t="s">
        <v>14</v>
      </c>
      <c r="D530" s="2" t="s">
        <v>2284</v>
      </c>
      <c r="F530" s="2" t="s">
        <v>780</v>
      </c>
      <c r="G530" s="2" t="s">
        <v>2384</v>
      </c>
      <c r="H530" s="2" t="s">
        <v>2415</v>
      </c>
      <c r="I530" s="2" t="s">
        <v>2446</v>
      </c>
    </row>
    <row r="531" spans="1:9" x14ac:dyDescent="0.3">
      <c r="A531" s="2" t="s">
        <v>14</v>
      </c>
      <c r="D531" s="2" t="s">
        <v>2285</v>
      </c>
      <c r="F531" s="2" t="s">
        <v>782</v>
      </c>
      <c r="G531" s="2" t="s">
        <v>2385</v>
      </c>
      <c r="H531" s="2" t="s">
        <v>2416</v>
      </c>
      <c r="I531" s="2" t="s">
        <v>2447</v>
      </c>
    </row>
    <row r="532" spans="1:9" x14ac:dyDescent="0.3">
      <c r="A532" s="2" t="s">
        <v>14</v>
      </c>
      <c r="D532" s="2" t="s">
        <v>2287</v>
      </c>
      <c r="F532" s="2" t="s">
        <v>784</v>
      </c>
      <c r="G532" s="2" t="s">
        <v>2386</v>
      </c>
      <c r="H532" s="2" t="s">
        <v>2417</v>
      </c>
      <c r="I532" s="2" t="s">
        <v>2448</v>
      </c>
    </row>
    <row r="533" spans="1:9" x14ac:dyDescent="0.3">
      <c r="A533" s="2" t="s">
        <v>14</v>
      </c>
      <c r="D533" s="2" t="s">
        <v>2288</v>
      </c>
      <c r="F533" s="2" t="s">
        <v>786</v>
      </c>
      <c r="G533" s="2" t="s">
        <v>2387</v>
      </c>
      <c r="H533" s="2" t="s">
        <v>2418</v>
      </c>
      <c r="I533" s="2" t="s">
        <v>2449</v>
      </c>
    </row>
    <row r="534" spans="1:9" x14ac:dyDescent="0.3">
      <c r="A534" s="2" t="s">
        <v>14</v>
      </c>
      <c r="D534" s="2" t="s">
        <v>2289</v>
      </c>
      <c r="F534" s="2" t="s">
        <v>788</v>
      </c>
      <c r="G534" s="2" t="s">
        <v>2388</v>
      </c>
      <c r="H534" s="2" t="s">
        <v>2419</v>
      </c>
      <c r="I534" s="2" t="s">
        <v>2450</v>
      </c>
    </row>
    <row r="535" spans="1:9" x14ac:dyDescent="0.3">
      <c r="A535" s="2" t="s">
        <v>14</v>
      </c>
      <c r="D535" s="2" t="s">
        <v>2290</v>
      </c>
      <c r="F535" s="2" t="s">
        <v>790</v>
      </c>
      <c r="G535" s="2" t="s">
        <v>2389</v>
      </c>
      <c r="H535" s="2" t="s">
        <v>2420</v>
      </c>
      <c r="I535" s="2" t="s">
        <v>2451</v>
      </c>
    </row>
    <row r="536" spans="1:9" x14ac:dyDescent="0.3">
      <c r="A536" s="2" t="s">
        <v>14</v>
      </c>
      <c r="D536" s="2" t="s">
        <v>2291</v>
      </c>
      <c r="F536" s="2" t="s">
        <v>792</v>
      </c>
      <c r="G536" s="2" t="s">
        <v>2390</v>
      </c>
      <c r="H536" s="2" t="s">
        <v>2421</v>
      </c>
      <c r="I536" s="2" t="s">
        <v>2452</v>
      </c>
    </row>
    <row r="537" spans="1:9" x14ac:dyDescent="0.3">
      <c r="A537" s="2" t="s">
        <v>14</v>
      </c>
      <c r="D537" s="2" t="s">
        <v>2292</v>
      </c>
      <c r="F537" s="2" t="s">
        <v>2276</v>
      </c>
      <c r="G537" s="2" t="s">
        <v>2391</v>
      </c>
      <c r="H537" s="2" t="s">
        <v>2422</v>
      </c>
      <c r="I537" s="2" t="s">
        <v>2453</v>
      </c>
    </row>
    <row r="538" spans="1:9" x14ac:dyDescent="0.3">
      <c r="A538" s="2" t="s">
        <v>14</v>
      </c>
      <c r="D538" s="2" t="s">
        <v>2680</v>
      </c>
      <c r="F538" s="2" t="s">
        <v>794</v>
      </c>
      <c r="G538" s="2" t="s">
        <v>2740</v>
      </c>
      <c r="H538" s="2" t="s">
        <v>2742</v>
      </c>
      <c r="I538" s="2" t="s">
        <v>2744</v>
      </c>
    </row>
    <row r="539" spans="1:9" x14ac:dyDescent="0.3">
      <c r="A539" s="2" t="s">
        <v>14</v>
      </c>
      <c r="D539" s="2" t="s">
        <v>2681</v>
      </c>
      <c r="F539" s="2" t="s">
        <v>796</v>
      </c>
      <c r="G539" s="2" t="s">
        <v>2741</v>
      </c>
      <c r="H539" s="2" t="s">
        <v>2743</v>
      </c>
      <c r="I539" s="2" t="s">
        <v>2745</v>
      </c>
    </row>
    <row r="540" spans="1:9" x14ac:dyDescent="0.3">
      <c r="A540" s="2" t="s">
        <v>14</v>
      </c>
      <c r="D540" s="2" t="s">
        <v>2293</v>
      </c>
      <c r="F540" s="2" t="s">
        <v>798</v>
      </c>
      <c r="G540" s="2" t="s">
        <v>2310</v>
      </c>
      <c r="H540" s="2" t="s">
        <v>2327</v>
      </c>
      <c r="I540" s="2" t="s">
        <v>2344</v>
      </c>
    </row>
    <row r="541" spans="1:9" x14ac:dyDescent="0.3">
      <c r="A541" s="2" t="s">
        <v>14</v>
      </c>
      <c r="D541" s="2" t="s">
        <v>2294</v>
      </c>
      <c r="F541" s="2" t="s">
        <v>800</v>
      </c>
      <c r="G541" s="2" t="s">
        <v>2311</v>
      </c>
      <c r="H541" s="2" t="s">
        <v>2328</v>
      </c>
      <c r="I541" s="2" t="s">
        <v>2345</v>
      </c>
    </row>
    <row r="542" spans="1:9" x14ac:dyDescent="0.3">
      <c r="A542" s="2" t="s">
        <v>14</v>
      </c>
      <c r="D542" s="2" t="s">
        <v>2295</v>
      </c>
      <c r="F542" s="2" t="s">
        <v>2282</v>
      </c>
      <c r="G542" s="2" t="s">
        <v>2312</v>
      </c>
      <c r="H542" s="2" t="s">
        <v>2329</v>
      </c>
      <c r="I542" s="2" t="s">
        <v>2346</v>
      </c>
    </row>
    <row r="543" spans="1:9" x14ac:dyDescent="0.3">
      <c r="A543" s="2" t="s">
        <v>14</v>
      </c>
      <c r="D543" s="2" t="s">
        <v>2296</v>
      </c>
      <c r="F543" s="2" t="s">
        <v>802</v>
      </c>
      <c r="G543" s="2" t="s">
        <v>2313</v>
      </c>
      <c r="H543" s="2" t="s">
        <v>2330</v>
      </c>
      <c r="I543" s="2" t="s">
        <v>2347</v>
      </c>
    </row>
    <row r="544" spans="1:9" x14ac:dyDescent="0.3">
      <c r="A544" s="2" t="s">
        <v>14</v>
      </c>
      <c r="D544" s="2" t="s">
        <v>2297</v>
      </c>
      <c r="F544" s="2" t="s">
        <v>804</v>
      </c>
      <c r="G544" s="2" t="s">
        <v>2314</v>
      </c>
      <c r="H544" s="2" t="s">
        <v>2331</v>
      </c>
      <c r="I544" s="2" t="s">
        <v>2348</v>
      </c>
    </row>
    <row r="545" spans="1:9" x14ac:dyDescent="0.3">
      <c r="A545" s="2" t="s">
        <v>14</v>
      </c>
      <c r="D545" s="2" t="s">
        <v>2298</v>
      </c>
      <c r="F545" s="2" t="s">
        <v>2286</v>
      </c>
      <c r="G545" s="2" t="s">
        <v>2315</v>
      </c>
      <c r="H545" s="2" t="s">
        <v>2332</v>
      </c>
      <c r="I545" s="2" t="s">
        <v>2349</v>
      </c>
    </row>
    <row r="546" spans="1:9" x14ac:dyDescent="0.3">
      <c r="A546" s="2" t="s">
        <v>14</v>
      </c>
      <c r="D546" s="2" t="s">
        <v>2299</v>
      </c>
      <c r="F546" s="2" t="s">
        <v>806</v>
      </c>
      <c r="G546" s="2" t="s">
        <v>2316</v>
      </c>
      <c r="H546" s="2" t="s">
        <v>2333</v>
      </c>
      <c r="I546" s="2" t="s">
        <v>2350</v>
      </c>
    </row>
    <row r="547" spans="1:9" x14ac:dyDescent="0.3">
      <c r="A547" s="2" t="s">
        <v>14</v>
      </c>
      <c r="D547" s="2" t="s">
        <v>2300</v>
      </c>
      <c r="F547" s="2" t="s">
        <v>808</v>
      </c>
      <c r="G547" s="2" t="s">
        <v>2317</v>
      </c>
      <c r="H547" s="2" t="s">
        <v>2334</v>
      </c>
      <c r="I547" s="2" t="s">
        <v>2351</v>
      </c>
    </row>
    <row r="548" spans="1:9" x14ac:dyDescent="0.3">
      <c r="A548" s="2" t="s">
        <v>14</v>
      </c>
      <c r="D548" s="2" t="s">
        <v>2301</v>
      </c>
      <c r="F548" s="2" t="s">
        <v>810</v>
      </c>
      <c r="G548" s="2" t="s">
        <v>2318</v>
      </c>
      <c r="H548" s="2" t="s">
        <v>2335</v>
      </c>
      <c r="I548" s="2" t="s">
        <v>2352</v>
      </c>
    </row>
    <row r="549" spans="1:9" x14ac:dyDescent="0.3">
      <c r="A549" s="2" t="s">
        <v>14</v>
      </c>
      <c r="D549" s="2" t="s">
        <v>2302</v>
      </c>
      <c r="F549" s="2" t="s">
        <v>812</v>
      </c>
      <c r="G549" s="2" t="s">
        <v>2319</v>
      </c>
      <c r="H549" s="2" t="s">
        <v>2336</v>
      </c>
      <c r="I549" s="2" t="s">
        <v>2353</v>
      </c>
    </row>
    <row r="550" spans="1:9" x14ac:dyDescent="0.3">
      <c r="A550" s="2" t="s">
        <v>14</v>
      </c>
      <c r="D550" s="2" t="s">
        <v>2303</v>
      </c>
      <c r="F550" s="2" t="s">
        <v>814</v>
      </c>
      <c r="G550" s="2" t="s">
        <v>2320</v>
      </c>
      <c r="H550" s="2" t="s">
        <v>2337</v>
      </c>
      <c r="I550" s="2" t="s">
        <v>2354</v>
      </c>
    </row>
    <row r="551" spans="1:9" x14ac:dyDescent="0.3">
      <c r="A551" s="2" t="s">
        <v>14</v>
      </c>
      <c r="D551" s="2" t="s">
        <v>2304</v>
      </c>
      <c r="F551" s="2" t="s">
        <v>816</v>
      </c>
      <c r="G551" s="2" t="s">
        <v>2321</v>
      </c>
      <c r="H551" s="2" t="s">
        <v>2338</v>
      </c>
      <c r="I551" s="2" t="s">
        <v>2355</v>
      </c>
    </row>
    <row r="552" spans="1:9" x14ac:dyDescent="0.3">
      <c r="A552" s="2" t="s">
        <v>14</v>
      </c>
      <c r="D552" s="2" t="s">
        <v>2272</v>
      </c>
    </row>
    <row r="553" spans="1:9" x14ac:dyDescent="0.3">
      <c r="A553" s="2" t="s">
        <v>14</v>
      </c>
      <c r="D553" s="2" t="s">
        <v>2682</v>
      </c>
      <c r="E553" s="2" t="s">
        <v>817</v>
      </c>
      <c r="G553" s="2" t="s">
        <v>3</v>
      </c>
      <c r="H553" s="2" t="s">
        <v>4</v>
      </c>
      <c r="I553" s="2" t="s">
        <v>5</v>
      </c>
    </row>
    <row r="554" spans="1:9" x14ac:dyDescent="0.3">
      <c r="A554" s="2" t="s">
        <v>14</v>
      </c>
      <c r="D554" s="2" t="s">
        <v>2305</v>
      </c>
      <c r="F554" s="2" t="s">
        <v>2683</v>
      </c>
      <c r="G554" s="2" t="s">
        <v>2322</v>
      </c>
      <c r="H554" s="2" t="s">
        <v>2339</v>
      </c>
      <c r="I554" s="2" t="s">
        <v>2356</v>
      </c>
    </row>
    <row r="555" spans="1:9" x14ac:dyDescent="0.3">
      <c r="A555" s="2" t="s">
        <v>14</v>
      </c>
      <c r="D555" s="2" t="s">
        <v>2306</v>
      </c>
      <c r="F555" s="2" t="s">
        <v>820</v>
      </c>
      <c r="G555" s="2" t="s">
        <v>2323</v>
      </c>
      <c r="H555" s="2" t="s">
        <v>2340</v>
      </c>
      <c r="I555" s="2" t="s">
        <v>2357</v>
      </c>
    </row>
    <row r="556" spans="1:9" x14ac:dyDescent="0.3">
      <c r="A556" s="2" t="s">
        <v>14</v>
      </c>
      <c r="D556" s="2" t="s">
        <v>2307</v>
      </c>
      <c r="F556" s="2" t="s">
        <v>822</v>
      </c>
      <c r="G556" s="2" t="s">
        <v>2324</v>
      </c>
      <c r="H556" s="2" t="s">
        <v>2341</v>
      </c>
      <c r="I556" s="2" t="s">
        <v>2358</v>
      </c>
    </row>
    <row r="557" spans="1:9" x14ac:dyDescent="0.3">
      <c r="A557" s="2" t="s">
        <v>14</v>
      </c>
      <c r="D557" s="2" t="s">
        <v>2308</v>
      </c>
      <c r="F557" s="2" t="s">
        <v>824</v>
      </c>
      <c r="G557" s="2" t="s">
        <v>2325</v>
      </c>
      <c r="H557" s="2" t="s">
        <v>2342</v>
      </c>
      <c r="I557" s="2" t="s">
        <v>2359</v>
      </c>
    </row>
    <row r="558" spans="1:9" x14ac:dyDescent="0.3">
      <c r="A558" s="2" t="s">
        <v>14</v>
      </c>
      <c r="D558" s="2" t="s">
        <v>2309</v>
      </c>
      <c r="F558" s="2" t="s">
        <v>826</v>
      </c>
      <c r="G558" s="2" t="s">
        <v>2326</v>
      </c>
      <c r="H558" s="2" t="s">
        <v>2343</v>
      </c>
      <c r="I558" s="2" t="s">
        <v>2360</v>
      </c>
    </row>
    <row r="559" spans="1:9" x14ac:dyDescent="0.3">
      <c r="A559" s="2" t="s">
        <v>14</v>
      </c>
      <c r="D559" s="2" t="s">
        <v>2684</v>
      </c>
      <c r="F559" s="2" t="s">
        <v>828</v>
      </c>
      <c r="G559" s="2" t="s">
        <v>2698</v>
      </c>
      <c r="H559" s="2" t="s">
        <v>2712</v>
      </c>
      <c r="I559" s="2" t="s">
        <v>2726</v>
      </c>
    </row>
    <row r="560" spans="1:9" x14ac:dyDescent="0.3">
      <c r="A560" s="2" t="s">
        <v>14</v>
      </c>
      <c r="D560" s="2" t="s">
        <v>2685</v>
      </c>
      <c r="F560" s="2" t="s">
        <v>830</v>
      </c>
      <c r="G560" s="2" t="s">
        <v>2699</v>
      </c>
      <c r="H560" s="2" t="s">
        <v>2713</v>
      </c>
      <c r="I560" s="2" t="s">
        <v>2727</v>
      </c>
    </row>
    <row r="561" spans="1:9" x14ac:dyDescent="0.3">
      <c r="A561" s="2" t="s">
        <v>14</v>
      </c>
      <c r="D561" s="2" t="s">
        <v>2686</v>
      </c>
      <c r="F561" s="2" t="s">
        <v>832</v>
      </c>
      <c r="G561" s="2" t="s">
        <v>2700</v>
      </c>
      <c r="H561" s="2" t="s">
        <v>2714</v>
      </c>
      <c r="I561" s="2" t="s">
        <v>2728</v>
      </c>
    </row>
    <row r="562" spans="1:9" x14ac:dyDescent="0.3">
      <c r="A562" s="2" t="s">
        <v>14</v>
      </c>
      <c r="D562" s="2" t="s">
        <v>2687</v>
      </c>
      <c r="F562" s="2" t="s">
        <v>834</v>
      </c>
      <c r="G562" s="2" t="s">
        <v>2701</v>
      </c>
      <c r="H562" s="2" t="s">
        <v>2715</v>
      </c>
      <c r="I562" s="2" t="s">
        <v>2729</v>
      </c>
    </row>
    <row r="563" spans="1:9" x14ac:dyDescent="0.3">
      <c r="A563" s="2" t="s">
        <v>14</v>
      </c>
      <c r="D563" s="2" t="s">
        <v>2688</v>
      </c>
      <c r="F563" s="2" t="s">
        <v>836</v>
      </c>
      <c r="G563" s="2" t="s">
        <v>2702</v>
      </c>
      <c r="H563" s="2" t="s">
        <v>2716</v>
      </c>
      <c r="I563" s="2" t="s">
        <v>2730</v>
      </c>
    </row>
    <row r="564" spans="1:9" x14ac:dyDescent="0.3">
      <c r="A564" s="2" t="s">
        <v>14</v>
      </c>
      <c r="D564" s="2" t="s">
        <v>2689</v>
      </c>
      <c r="F564" s="2" t="s">
        <v>838</v>
      </c>
      <c r="G564" s="2" t="s">
        <v>2703</v>
      </c>
      <c r="H564" s="2" t="s">
        <v>2717</v>
      </c>
      <c r="I564" s="2" t="s">
        <v>2731</v>
      </c>
    </row>
    <row r="565" spans="1:9" x14ac:dyDescent="0.3">
      <c r="A565" s="2" t="s">
        <v>14</v>
      </c>
      <c r="D565" s="2" t="s">
        <v>2690</v>
      </c>
      <c r="F565" s="2" t="s">
        <v>840</v>
      </c>
      <c r="G565" s="2" t="s">
        <v>2704</v>
      </c>
      <c r="H565" s="2" t="s">
        <v>2718</v>
      </c>
      <c r="I565" s="2" t="s">
        <v>2732</v>
      </c>
    </row>
    <row r="566" spans="1:9" x14ac:dyDescent="0.3">
      <c r="A566" s="2" t="s">
        <v>14</v>
      </c>
      <c r="D566" s="2" t="s">
        <v>2691</v>
      </c>
      <c r="F566" s="2" t="s">
        <v>842</v>
      </c>
      <c r="G566" s="2" t="s">
        <v>2705</v>
      </c>
      <c r="H566" s="2" t="s">
        <v>2719</v>
      </c>
      <c r="I566" s="2" t="s">
        <v>2733</v>
      </c>
    </row>
    <row r="567" spans="1:9" x14ac:dyDescent="0.3">
      <c r="A567" s="2" t="s">
        <v>14</v>
      </c>
      <c r="D567" s="2" t="s">
        <v>2692</v>
      </c>
      <c r="F567" s="2" t="s">
        <v>848</v>
      </c>
      <c r="G567" s="2" t="s">
        <v>2706</v>
      </c>
      <c r="H567" s="2" t="s">
        <v>2720</v>
      </c>
      <c r="I567" s="2" t="s">
        <v>2734</v>
      </c>
    </row>
    <row r="568" spans="1:9" x14ac:dyDescent="0.3">
      <c r="A568" s="2" t="s">
        <v>14</v>
      </c>
      <c r="D568" s="2" t="s">
        <v>2693</v>
      </c>
      <c r="F568" s="2" t="s">
        <v>850</v>
      </c>
      <c r="G568" s="2" t="s">
        <v>2707</v>
      </c>
      <c r="H568" s="2" t="s">
        <v>2721</v>
      </c>
      <c r="I568" s="2" t="s">
        <v>2735</v>
      </c>
    </row>
    <row r="569" spans="1:9" x14ac:dyDescent="0.3">
      <c r="A569" s="2" t="s">
        <v>14</v>
      </c>
      <c r="D569" s="2" t="s">
        <v>2694</v>
      </c>
      <c r="F569" s="2" t="s">
        <v>844</v>
      </c>
      <c r="G569" s="2" t="s">
        <v>2708</v>
      </c>
      <c r="H569" s="2" t="s">
        <v>2722</v>
      </c>
      <c r="I569" s="2" t="s">
        <v>2736</v>
      </c>
    </row>
    <row r="570" spans="1:9" x14ac:dyDescent="0.3">
      <c r="A570" s="2" t="s">
        <v>14</v>
      </c>
      <c r="D570" s="2" t="s">
        <v>2695</v>
      </c>
      <c r="F570" s="2" t="s">
        <v>846</v>
      </c>
      <c r="G570" s="2" t="s">
        <v>2709</v>
      </c>
      <c r="H570" s="2" t="s">
        <v>2723</v>
      </c>
      <c r="I570" s="2" t="s">
        <v>2737</v>
      </c>
    </row>
    <row r="571" spans="1:9" x14ac:dyDescent="0.3">
      <c r="A571" s="2" t="s">
        <v>14</v>
      </c>
      <c r="D571" s="2" t="s">
        <v>2696</v>
      </c>
      <c r="F571" s="2" t="s">
        <v>852</v>
      </c>
      <c r="G571" s="2" t="s">
        <v>2710</v>
      </c>
      <c r="H571" s="2" t="s">
        <v>2724</v>
      </c>
      <c r="I571" s="2" t="s">
        <v>2738</v>
      </c>
    </row>
    <row r="572" spans="1:9" x14ac:dyDescent="0.3">
      <c r="A572" s="2" t="s">
        <v>14</v>
      </c>
      <c r="D572" s="2" t="s">
        <v>2697</v>
      </c>
      <c r="F572" s="2" t="s">
        <v>854</v>
      </c>
      <c r="G572" s="2" t="s">
        <v>2711</v>
      </c>
      <c r="H572" s="2" t="s">
        <v>2725</v>
      </c>
      <c r="I572" s="2" t="s">
        <v>2739</v>
      </c>
    </row>
    <row r="573" spans="1:9" x14ac:dyDescent="0.3">
      <c r="A573" s="2" t="s">
        <v>14</v>
      </c>
      <c r="D573" s="2" t="s">
        <v>2306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Gurrentz</dc:creator>
  <cp:lastModifiedBy>Pat Gurrentz</cp:lastModifiedBy>
  <dcterms:created xsi:type="dcterms:W3CDTF">2021-12-25T16:36:02Z</dcterms:created>
  <dcterms:modified xsi:type="dcterms:W3CDTF">2022-02-24T20:19:26Z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1033</vt:lpwstr>
  </property>
</Properties>
</file>